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investice" sheetId="1" r:id="rId1"/>
    <sheet name="rekapitulace" sheetId="2" r:id="rId2"/>
    <sheet name="pomocne_tabulky" sheetId="3" r:id="rId3"/>
  </sheets>
  <definedNames>
    <definedName name="_xlnm._FilterDatabase" localSheetId="0" hidden="1">'investice'!$A$1:$U$101</definedName>
    <definedName name="Excel_BuiltIn__FilterDatabase" localSheetId="0">'investice'!$A$93:$U$65556</definedName>
  </definedNames>
  <calcPr calcId="145621"/>
  <extLst/>
</workbook>
</file>

<file path=xl/sharedStrings.xml><?xml version="1.0" encoding="utf-8"?>
<sst xmlns="http://schemas.openxmlformats.org/spreadsheetml/2006/main" count="1117" uniqueCount="595">
  <si>
    <t>ID</t>
  </si>
  <si>
    <t>rok otevření</t>
  </si>
  <si>
    <t>lokalita</t>
  </si>
  <si>
    <t>typ</t>
  </si>
  <si>
    <t>název</t>
  </si>
  <si>
    <t>délka</t>
  </si>
  <si>
    <t>cena opatření</t>
  </si>
  <si>
    <t>dodavatel</t>
  </si>
  <si>
    <t>Kč/bm</t>
  </si>
  <si>
    <t>náplň</t>
  </si>
  <si>
    <t>úsek</t>
  </si>
  <si>
    <t>realizace</t>
  </si>
  <si>
    <t>význam</t>
  </si>
  <si>
    <t>investice</t>
  </si>
  <si>
    <t>náklady investice</t>
  </si>
  <si>
    <t>výše dotace</t>
  </si>
  <si>
    <t>hodnota dotace ve sdružené investici</t>
  </si>
  <si>
    <t>dotace (investor)</t>
  </si>
  <si>
    <t>přibližná poloha</t>
  </si>
  <si>
    <t>zdroje</t>
  </si>
  <si>
    <t>aktualizace</t>
  </si>
  <si>
    <t>Vinohrady</t>
  </si>
  <si>
    <t>[3]organizační opatření</t>
  </si>
  <si>
    <t>stoupací cyklopruh Líšeňská</t>
  </si>
  <si>
    <t>06/2017</t>
  </si>
  <si>
    <t>dopravní</t>
  </si>
  <si>
    <t>Královo Pole</t>
  </si>
  <si>
    <t>stoupací cyklopruh Podnikatelská</t>
  </si>
  <si>
    <t>Líšeň</t>
  </si>
  <si>
    <t>cyklopruhy Novolíšeňská</t>
  </si>
  <si>
    <t>05/2017</t>
  </si>
  <si>
    <t>Brno-sever</t>
  </si>
  <si>
    <t>[1]sdružená investice</t>
  </si>
  <si>
    <t>obousměrka Francouzská</t>
  </si>
  <si>
    <t>2017-05/2018</t>
  </si>
  <si>
    <t>Rekonstrukce Francouzské</t>
  </si>
  <si>
    <t>víceúčeláky Technická</t>
  </si>
  <si>
    <t>08/2017</t>
  </si>
  <si>
    <t>Černovice</t>
  </si>
  <si>
    <t>cyklopruhy Olomoucká</t>
  </si>
  <si>
    <t xml:space="preserve">Od Cornovovy po Černovičky </t>
  </si>
  <si>
    <t>Brno-střed</t>
  </si>
  <si>
    <t>piktogramy Jihlavská I</t>
  </si>
  <si>
    <t>Od CS Krematorní po Dlouhou, většinou jen piktogramy.</t>
  </si>
  <si>
    <t>[2]účelová stavba</t>
  </si>
  <si>
    <t>stojany v centru</t>
  </si>
  <si>
    <t xml:space="preserve">9 lokalit, 50 trubek tvaru ∩, 100 míst </t>
  </si>
  <si>
    <t>Židenice</t>
  </si>
  <si>
    <t>vyznačení chodníku jako cyklostezky</t>
  </si>
  <si>
    <t>14× SDZ na Bubeníčkova, Gajdošova</t>
  </si>
  <si>
    <t>Komín</t>
  </si>
  <si>
    <t>svodidla Kníničská etapa II.</t>
  </si>
  <si>
    <t>prodloužení svodidel</t>
  </si>
  <si>
    <t>04/2017</t>
  </si>
  <si>
    <t>rekreační</t>
  </si>
  <si>
    <t>Brno</t>
  </si>
  <si>
    <t>2 obousměrky</t>
  </si>
  <si>
    <t>obousměrka Optátova, Za Divadlem</t>
  </si>
  <si>
    <t>01-04/2017</t>
  </si>
  <si>
    <t>obousměrka Čejkova, Cornovova</t>
  </si>
  <si>
    <t>02-05/2017</t>
  </si>
  <si>
    <t>Brno-jih</t>
  </si>
  <si>
    <t>o[2]účelová stavba</t>
  </si>
  <si>
    <t>Most Jeneweinova přes Ponávku ev.č. BM-536</t>
  </si>
  <si>
    <t>FIRESTA-Fišer</t>
  </si>
  <si>
    <t>nová lávka za starou a úzkou</t>
  </si>
  <si>
    <t>05/2016-10/2016</t>
  </si>
  <si>
    <t>o_dopravní</t>
  </si>
  <si>
    <t>https://www.vhodne-uverejneni.cz/zakazka/lavka-jeneweinova</t>
  </si>
  <si>
    <t>stojany u hl.nádraží</t>
  </si>
  <si>
    <t xml:space="preserve">3 lokality, 19 trubek tvaru ∩, 38 míst </t>
  </si>
  <si>
    <t>12/2016</t>
  </si>
  <si>
    <t>Bohunice</t>
  </si>
  <si>
    <t>1 obousměrka</t>
  </si>
  <si>
    <t>obousměrka Pod Nemocnicí, Uzbecká</t>
  </si>
  <si>
    <t>06/2016</t>
  </si>
  <si>
    <t>Žabovřesky</t>
  </si>
  <si>
    <t>obousměrka Fanderlíkova</t>
  </si>
  <si>
    <t>03/2016</t>
  </si>
  <si>
    <t>Pěší zóna 24h vyjma České</t>
  </si>
  <si>
    <t>Bkom, a.s.</t>
  </si>
  <si>
    <t>Vjezd do staré pěší zóny z 16h na 24h mimo Českou.</t>
  </si>
  <si>
    <t>11/2015</t>
  </si>
  <si>
    <t>obousměrka Malátova</t>
  </si>
  <si>
    <t>10/2014-10/2015</t>
  </si>
  <si>
    <t>Rekonstrukce Malátova</t>
  </si>
  <si>
    <t>Přízřenice</t>
  </si>
  <si>
    <t>C8 stezka KČT 5 Soutok-ČOV</t>
  </si>
  <si>
    <t>SWIETELSKY – OHL ŽS</t>
  </si>
  <si>
    <t>CS na druhém tj. levém břehu</t>
  </si>
  <si>
    <t>06/2015</t>
  </si>
  <si>
    <t>Dostavba bezpečných úseků cyklotrasy Brno - Vídeň na území ČR - II. Etapa</t>
  </si>
  <si>
    <t>(DSO Brno-Vídeň)</t>
  </si>
  <si>
    <t>http://www.brnoviden.cz/O-nas/Dostavba-bezpecnych-useku.aspx</t>
  </si>
  <si>
    <t>Chrlice</t>
  </si>
  <si>
    <t>C11 stezka BrnoVídeň Rebešovice-Chrlice</t>
  </si>
  <si>
    <t>CS západní trasou, asfalt na původní polní cestu</t>
  </si>
  <si>
    <t>https://stavebnionline.cz/Profily/dokument.asp?Priloha=24304&amp;FN=20150305%20SOD%20Final%20Podpisy%20VcetnePriloh.pdf</t>
  </si>
  <si>
    <t>[4]organizační opatření při plošných opravách</t>
  </si>
  <si>
    <t>Rekonstrukce Zelný trh a zřízení pěší zóny</t>
  </si>
  <si>
    <t>Obousměrky Zelný trh, Panská, Radnická</t>
  </si>
  <si>
    <t>05/2015</t>
  </si>
  <si>
    <t>5 cykloobousměrek vč. 1 nové autojednosměrky</t>
  </si>
  <si>
    <t>obousměrky Veselá, Dominikánská, Dominikánské nám. a znovuotevření obousměrnosti !Sirotkovy</t>
  </si>
  <si>
    <t>cyklostezka Dobrovského</t>
  </si>
  <si>
    <t>cyklostezka</t>
  </si>
  <si>
    <t>Chodská-Purkyňova</t>
  </si>
  <si>
    <t>12/2014</t>
  </si>
  <si>
    <t>Tunely Dobrovského</t>
  </si>
  <si>
    <t>http.//www.osm.cz/?way=318309950</t>
  </si>
  <si>
    <t>cyklo+BUS a piktogramy na Úvoz – střední a horní část</t>
  </si>
  <si>
    <t>v rámci obnovy krytu</t>
  </si>
  <si>
    <t>Tvrdého-Veveří</t>
  </si>
  <si>
    <t>08/2014</t>
  </si>
  <si>
    <t>Bystrc</t>
  </si>
  <si>
    <t>6 cykloobousměrek jako nové autojednosměrky</t>
  </si>
  <si>
    <t>obousměrky !Hvozdecká, Chudčická, Chvalkovka, Křepelčí, Vlaštovčí, Kavčí</t>
  </si>
  <si>
    <t>10/2014</t>
  </si>
  <si>
    <t>7 cykloobousměrek</t>
  </si>
  <si>
    <t>obousměrky Rumiště, Mlýnská, Vohnoutova, Dvořákova, Orlí, Novobranská, Gorkého</t>
  </si>
  <si>
    <t>03-06/2014</t>
  </si>
  <si>
    <t>cyklopruhy Zborovská</t>
  </si>
  <si>
    <t>SDZ, VDZ</t>
  </si>
  <si>
    <t>Jindřichova-Tábor</t>
  </si>
  <si>
    <t>06/2014</t>
  </si>
  <si>
    <t>ne</t>
  </si>
  <si>
    <t>-</t>
  </si>
  <si>
    <t>zmařená</t>
  </si>
  <si>
    <t>piktogramy Vídeňská</t>
  </si>
  <si>
    <t>Poříčí-Celní</t>
  </si>
  <si>
    <t>03/2014</t>
  </si>
  <si>
    <t>13 cykloobousměrek vč. 2 nových autojednosměrek a 2 vjezdy</t>
  </si>
  <si>
    <t>obousměrka Mahenova, Antonínská, Lazaretní, Hrnčířská, Jaselská, Haasova, Opletalova, Vodova, Starobrněnská, Desátkova, !Březová, !Smrčková, Klíny, vjezd Údolní, Ponávka</t>
  </si>
  <si>
    <t>05-11/2013</t>
  </si>
  <si>
    <t>stoupací cyklo+BUS Úvoz – dolní část</t>
  </si>
  <si>
    <t>Pivovarská-Tvrdého</t>
  </si>
  <si>
    <t>08/2013</t>
  </si>
  <si>
    <t>cyklopruhy Kounicova</t>
  </si>
  <si>
    <t>Kotlářská-Moravské nám.</t>
  </si>
  <si>
    <t>09/2013</t>
  </si>
  <si>
    <t>Heršpice</t>
  </si>
  <si>
    <t>lávka areálu Hněvkovského</t>
  </si>
  <si>
    <t>Sdružení Areál Hněvkovského (Inženýrské stavby Brno, s.r.o.)</t>
  </si>
  <si>
    <t>lávka</t>
  </si>
  <si>
    <t>Sportovní areál lokalita Hněvkovského</t>
  </si>
  <si>
    <t>EU ROP</t>
  </si>
  <si>
    <t>http.//www.osm.cz/?way=223508878</t>
  </si>
  <si>
    <t>http://www.brno.cz/brno-aktualne/tiskovy-servis/tiskove-zpravy/tiskova-zprava-z-rmb-c-r6073-dne-18-7-2012/
http://www.brno.cz/fileadmin/user_upload/sprava_mesta/magistrat_mesta_brna/ORF/SR2011/Kapitalove_vydaje.xls
http://www.bkom.cz/informace/243/</t>
  </si>
  <si>
    <t>legalizace stezky parkem Koliště</t>
  </si>
  <si>
    <t>Sdružení Firesta -Fišer, rekonstrukce, stavby a.s., Dopravní stavby Brno, s.r.o.</t>
  </si>
  <si>
    <t>2xSDZ, frézování povrchu</t>
  </si>
  <si>
    <t>Milady Horákové-Jezuitská</t>
  </si>
  <si>
    <t>10/2012-08/2013</t>
  </si>
  <si>
    <t>Revitalizace městských parků, II. etapa – Park Koliště (Rudoarmějec, Janáčkovo divadlo)</t>
  </si>
  <si>
    <t>http://www.osm.org/?way=84802825</t>
  </si>
  <si>
    <t>http://www.brno.cz/brno-aktualne/tiskovy-servis/tiskove-zpravy/parky-na-kolisti-prochazeji-rekonstrukci-socha-rudoarmejce-je-v-peci-restauratoru/
http://www.brno.cz/fileadmin/user_upload/sprava_mesta/magistrat_mesta_brna/ORF/SR2012/Kapitalove_vydaje.xls
http://www.vestnikverejnychzakazek.cz/cz/Form/Display/326888</t>
  </si>
  <si>
    <t>C8 stezka Mírová</t>
  </si>
  <si>
    <t>Eurovia CS, a. s.</t>
  </si>
  <si>
    <t>asfaltový povrch polní cestě</t>
  </si>
  <si>
    <t>Mírová-Chrabulova</t>
  </si>
  <si>
    <t>06/2012-05/2013</t>
  </si>
  <si>
    <t>Areál volného času při ulici Mírová U pramene sv. Floriana; Cyklistická stezka při ulici Mírová</t>
  </si>
  <si>
    <t>http://www.brno.cz/fileadmin/user_upload/sprava_mesta/magistrat_mesta_brna/OIEF/Projekty_realizace/Areal_sv_Floriana-publicita.pdf
http://www.dokumenty.brno.cz/main/dokumenty/text.php?pla=1&amp;cislo=2047&amp;cislo1=&amp;soubor=/main/dokumenty/rmb/20121205-rmbR6_88.htm</t>
  </si>
  <si>
    <t>obousměrka Rybářská</t>
  </si>
  <si>
    <t>asfaltová část chodníku</t>
  </si>
  <si>
    <t>Poříčí-Veletržní</t>
  </si>
  <si>
    <t>Rybářská I - rekonstrukce kanalizace a vodovodu a Oprava komunikace Rybářská</t>
  </si>
  <si>
    <t>http://www.osm.org/?way=207566274</t>
  </si>
  <si>
    <t>http://zakazky.brno.cz/?pg=detail&amp;id=16529&amp;list=0</t>
  </si>
  <si>
    <t>Komárov</t>
  </si>
  <si>
    <t>obousměrka ulice Lomená</t>
  </si>
  <si>
    <t>10x SDZ</t>
  </si>
  <si>
    <t>Bratří Žurků-Lomená</t>
  </si>
  <si>
    <t>11/2012</t>
  </si>
  <si>
    <t>http://www.osm.org/?way=28218826</t>
  </si>
  <si>
    <t>Ivanovice</t>
  </si>
  <si>
    <t>obousměrka ulice Sychrov</t>
  </si>
  <si>
    <t>SDZ</t>
  </si>
  <si>
    <t>Kouty-Zatloukalova</t>
  </si>
  <si>
    <t>C8 stezka Purkyňova II.</t>
  </si>
  <si>
    <t>Skanska, a.s./2</t>
  </si>
  <si>
    <t>asfaltový chodník</t>
  </si>
  <si>
    <t>Kolejní-zast. Tech. park</t>
  </si>
  <si>
    <t>2011-2012</t>
  </si>
  <si>
    <t>Areál VUT v Brně CEITEC – komunikace</t>
  </si>
  <si>
    <t>http://zakazky.brno.cz/?pg=detail&amp;id=19947&amp;list=0</t>
  </si>
  <si>
    <t>C8 rekonstrukce stezky KČT 1 Bystrcká</t>
  </si>
  <si>
    <t>rekce povrchu, svodidla, přeložka VO</t>
  </si>
  <si>
    <t>Svratecká-Letenská lávka</t>
  </si>
  <si>
    <t>07-10/2012</t>
  </si>
  <si>
    <t>http://www.osm.org/?way=38539716</t>
  </si>
  <si>
    <t>http://www.brno.cz/sprava-mesta/dokumenty-mesta/povinne-zverejnovane-informace/informace-dle-zakona-1061999-sb/zadosti-o-informace/poskytnute-informace/</t>
  </si>
  <si>
    <t>C8 stavba II. stezky soubežné s KČT 1</t>
  </si>
  <si>
    <t>Inženýrské stavby Brno, s.r.o./6</t>
  </si>
  <si>
    <t>Renneská-Kšírova</t>
  </si>
  <si>
    <t>10/2011-10/2012</t>
  </si>
  <si>
    <t>Cyklistická stezka Renneská - Kšírova</t>
  </si>
  <si>
    <t>http://www.osm.org/?relation=1698044</t>
  </si>
  <si>
    <t>http://www.brno.cz/fileadmin/user_upload/sprava_mesta/magistrat_mesta_brna/ORF/SR2011/Kapitalove_vydaje.xls
http://www.stred.brno.cz/uploads/soubory/uredni_deska/Cyklisticka_stezka_Renneska_Ksirova_1.pdf
http://www.bkom.cz/informace/244
http://zakazky.brno.cz/?pg=detail&amp;id=8973&amp;list=180</t>
  </si>
  <si>
    <t>Obřany</t>
  </si>
  <si>
    <t>most Čtvery hony</t>
  </si>
  <si>
    <t>Super Krete Czech, s.r.o.</t>
  </si>
  <si>
    <t>dřevěná lávka</t>
  </si>
  <si>
    <t>Parková-Újezdy</t>
  </si>
  <si>
    <t>http://www.cssdbrno.cz/cs/mistni-organizace/mo-13-brno-malomerice-a-obrany</t>
  </si>
  <si>
    <t>pruhy Mifkova</t>
  </si>
  <si>
    <t>VDZ+SDZ po celkém frézování povrchu</t>
  </si>
  <si>
    <t>Novolíšeňská-Belcrediho</t>
  </si>
  <si>
    <t>08/2012</t>
  </si>
  <si>
    <t>http://www.osm.org/?way=26338439</t>
  </si>
  <si>
    <t>http://www.sedmicka.cz/brno-vyskov/clanek/politiky-uz-kola-nezajimaji-253684
http://www.zelenebrno.cz/Aktuality/Cyklopruhy-na-brnenskych-silnicich</t>
  </si>
  <si>
    <t>stojany centrum</t>
  </si>
  <si>
    <t>28 ks</t>
  </si>
  <si>
    <t>10 lokalit, 28 trubek tvaru ∩, 56 míst</t>
  </si>
  <si>
    <t>mimo pěší zónu</t>
  </si>
  <si>
    <t>07-08/2012</t>
  </si>
  <si>
    <t>http://www.osm.org/?relation=2381498</t>
  </si>
  <si>
    <t>http://brnensky.denik.cz/zpravy_region/brno-postavilo-nove-cyklostojany-v-centru-mesta-20121008.html</t>
  </si>
  <si>
    <t>C8 stezka Dobrovského</t>
  </si>
  <si>
    <t>chodníková propojka ulic, lávka a vyvedení z HDP</t>
  </si>
  <si>
    <t>Jana Babáka-Svatopluka Čecha</t>
  </si>
  <si>
    <t>05/2006-08/2012</t>
  </si>
  <si>
    <t>Tunely Dobrovského apod</t>
  </si>
  <si>
    <t>?</t>
  </si>
  <si>
    <t>(ŘSD ČR)</t>
  </si>
  <si>
    <t>http://www.osm.org/?way=166300869</t>
  </si>
  <si>
    <t>http://cs.wikipedia.org/wiki/Kr%C3%A1lovopolsk%C3%BD_tunel</t>
  </si>
  <si>
    <t>C8 stezka Královopolská II</t>
  </si>
  <si>
    <t>C9 chodníková stezka, přejezd</t>
  </si>
  <si>
    <t>podchod Hradecká-Sv.Čecha</t>
  </si>
  <si>
    <t>05/2006-08/2013</t>
  </si>
  <si>
    <t>viz výše</t>
  </si>
  <si>
    <t>http://www.osm.org/?way=172805814</t>
  </si>
  <si>
    <t>Slatina</t>
  </si>
  <si>
    <t>C8 stezka V. Pecha</t>
  </si>
  <si>
    <t>Švédské valy-Těžební</t>
  </si>
  <si>
    <t>Technické vybavení území BPZ-Černovická terasa</t>
  </si>
  <si>
    <t>(CTPark)</t>
  </si>
  <si>
    <t>http://www.osm.org/?way=199740898</t>
  </si>
  <si>
    <t>http://cernovice.brno.cz/wp-content/uploads/2010/11/237_2010.pdf</t>
  </si>
  <si>
    <t>C11 narovnání S</t>
  </si>
  <si>
    <t>Via Alta, a.s.</t>
  </si>
  <si>
    <t>přeložka kolmých styků polních cest na esíčko</t>
  </si>
  <si>
    <t>04/2012</t>
  </si>
  <si>
    <t>Dostavba bezpečných úseků cyklotrasy Brno - Vídeň na území ČR - projekt 1</t>
  </si>
  <si>
    <t>http://www.mesto-modrice.cz/sites/default/files/ext/tiskova_zprava_-_cyklostezka.pdf</t>
  </si>
  <si>
    <t>C8 stavba III. stezky soubežné s trasou č. 1</t>
  </si>
  <si>
    <t>Inženýrské stavby Brno, s.r.o./8</t>
  </si>
  <si>
    <t>nový asfalt na poli a druhý chodník ulice</t>
  </si>
  <si>
    <t>Kšírova-Solokova</t>
  </si>
  <si>
    <t>10-11/2011</t>
  </si>
  <si>
    <t>Cyklistická stezka Kšírova – Sokolova</t>
  </si>
  <si>
    <t>http://www.osm.org/?relation=1822612</t>
  </si>
  <si>
    <t>http://www.bkom.cz/informace/244/
http://www2.brno.cz/index.php?nav01=1115&amp;nav02=2245&amp;nav03=6779&amp;akc=soub&amp;id=2282&amp;typ=2
http://zakazky.brno.cz/?pg=detail&amp;id=7455&amp;list=0</t>
  </si>
  <si>
    <t>C8 stavba stezky K nábřeží</t>
  </si>
  <si>
    <t>Inženýrské stavby Brno, s.r.o./5</t>
  </si>
  <si>
    <t>chodník podél komunikace</t>
  </si>
  <si>
    <t>Dufkovo náb.-Kšírova</t>
  </si>
  <si>
    <t>Cyklistická stezka K Nábřeží</t>
  </si>
  <si>
    <t>http://www.osm.org/?way=135399519</t>
  </si>
  <si>
    <t>http://www.bkom.cz/informace/244/
http://www.cssdbrno.cz/?menu=aktualne&amp;novinka=173
http://zakazky.brno.cz/?pg=detail&amp;id=7455&amp;list=0</t>
  </si>
  <si>
    <t>obousměrka ulice Rybníček</t>
  </si>
  <si>
    <t>VDZ+SDZ po celkové rekonstrukci ulice</t>
  </si>
  <si>
    <t>Staňkova-Lidická</t>
  </si>
  <si>
    <t>2010-2011</t>
  </si>
  <si>
    <t>Rybníček - rek. kanalizace a vodovodu</t>
  </si>
  <si>
    <t>http://www.osm.org/?way=131884573</t>
  </si>
  <si>
    <t>http://www.brno.cz/fileadmin/user_upload/sprava_mesta/magistrat_mesta_brna/ORF/SR2011/Kapitalove_vydaje.xls</t>
  </si>
  <si>
    <t>mlatové cesty Cacovický ostrov, částečně KČT 5</t>
  </si>
  <si>
    <t>mlatové cesty, oprava mostu, nový most</t>
  </si>
  <si>
    <t>05/2010-08/2011</t>
  </si>
  <si>
    <t xml:space="preserve">revitalizace Cacovického ostrova – regionální biocentrum </t>
  </si>
  <si>
    <t>http://www.osm.org/?way=73215356</t>
  </si>
  <si>
    <t>http://www.jihovychod.cz/rack/dotace/0000425
http://www.brno.cz/fileadmin/user_upload/sprava_mesta/magistrat_mesta_brna/ORF/SR2011/Kapitalove_vydaje.xls</t>
  </si>
  <si>
    <t>Bosonohy</t>
  </si>
  <si>
    <t>obousměrka ulice Vzhledná</t>
  </si>
  <si>
    <t>2xSDZ</t>
  </si>
  <si>
    <t>U Smyčky-Zájezdní</t>
  </si>
  <si>
    <t>07/2011</t>
  </si>
  <si>
    <t>http://www.osm.org/?way=124489580</t>
  </si>
  <si>
    <t>cyklo/BUSpruh Úvoz</t>
  </si>
  <si>
    <t>VDZ+SDZ jen dolů</t>
  </si>
  <si>
    <t>Gorkého-zast Čápkova</t>
  </si>
  <si>
    <t>http://www.osm.org/?way=124710118</t>
  </si>
  <si>
    <t>obousměrka ulice Moravské nám.</t>
  </si>
  <si>
    <t>Brandlova-Joštova</t>
  </si>
  <si>
    <t>2009-2011</t>
  </si>
  <si>
    <t>Joštova: úsek Moravské nám.-Komenského nám.</t>
  </si>
  <si>
    <t>http://www.osm.org/?way=34420730</t>
  </si>
  <si>
    <t>Lesná</t>
  </si>
  <si>
    <t>piktogramy Okružní</t>
  </si>
  <si>
    <t>VDZ po celkovém obrusu</t>
  </si>
  <si>
    <t>Loosova-Seifertova</t>
  </si>
  <si>
    <t>10/2010</t>
  </si>
  <si>
    <t>http://www.osm.org/?way=50561645</t>
  </si>
  <si>
    <t>pruhy Hlinky</t>
  </si>
  <si>
    <t>Výstavní-Křižkovského</t>
  </si>
  <si>
    <t>11/2010</t>
  </si>
  <si>
    <t>http://www.osm.org/?way=39812465</t>
  </si>
  <si>
    <t>obousměrka ulice Mendlovo nám.</t>
  </si>
  <si>
    <t>VDZ+SDZ po obnově</t>
  </si>
  <si>
    <t>Úvoz-Hlinky</t>
  </si>
  <si>
    <t>http://www.osm.org/?way=83249044</t>
  </si>
  <si>
    <t>Cyklo/BUSpruhy Nové Sady</t>
  </si>
  <si>
    <t>VDZ+SDZ vč, přejezdu Vídeňská</t>
  </si>
  <si>
    <t>Nádražní-Poříčí</t>
  </si>
  <si>
    <t>07-08/2010</t>
  </si>
  <si>
    <t>http://www.osm.org/?way=5586928</t>
  </si>
  <si>
    <t>pruhy Petra Křivky</t>
  </si>
  <si>
    <t>VDZ+SDZ po celkové plošném obrusu krytu</t>
  </si>
  <si>
    <t>Rybnická-Slunečná</t>
  </si>
  <si>
    <t>http://www.osm.org/?way=30676827</t>
  </si>
  <si>
    <t>C8 II. souběžná stezka KČT 1 Hněvkovského</t>
  </si>
  <si>
    <t>asfaltový povrch+ 0,45 km trať BMX</t>
  </si>
  <si>
    <t>areál cyklistiky Hněvkovského</t>
  </si>
  <si>
    <t>jen 2010</t>
  </si>
  <si>
    <t>Rozvoj sítě cyklistických stezek na území města Brna, II. etapa</t>
  </si>
  <si>
    <t>http://www.osm.org/?way=135399870</t>
  </si>
  <si>
    <t>http://www.brno.cz/brno-aktualne/tiskovy-servis/tiskove-zpravy/13-10-2009-brno-doplnuje-sit-cyklostezek
http://zakazky.statnisprava.cz/mob.aspx?sid=0&amp;pg=vz&amp;ecvz=60040013 http://www.jihovychod.cz/rack/dotace/0000465</t>
  </si>
  <si>
    <t>C8 stezka KČT 5 Pod dálnicí</t>
  </si>
  <si>
    <t>asfaltový povrch, lávka přes Svitavu</t>
  </si>
  <si>
    <t xml:space="preserve">Kaštanová – most D2 </t>
  </si>
  <si>
    <t>http://www.osm.org/?way=47235454</t>
  </si>
  <si>
    <t>http://www.brno.cz/brno-aktualne/tiskovy-servis/tiskove-zpravy/13-10-2009-brno-doplnuje-sit-cyklostezek
http://vz.statnisprava.cz/mob.aspx?sid=0&amp;pg=vz&amp;ecvz=60040385 http://www.jihovychod.cz/rack/dotace/0000465</t>
  </si>
  <si>
    <t>Tuřany</t>
  </si>
  <si>
    <t>C8 stezka U viaduktu</t>
  </si>
  <si>
    <t>STRABAG a.s., odštěpný závod Brno</t>
  </si>
  <si>
    <t>Šípková-U Dráhy</t>
  </si>
  <si>
    <t>Vybudování jednostranného chodníku, obousměrné stezky pro cyklisty a chodce podél ulice U Viaduktu</t>
  </si>
  <si>
    <t>http://www.osm.org/?way=130296657</t>
  </si>
  <si>
    <t>http://vz.statnisprava.cz/?sid=0&amp;pg=vz&amp;ecvz=60038908</t>
  </si>
  <si>
    <t>C8 stezka KČT 5 Svitavská II</t>
  </si>
  <si>
    <t>Cejl-Husovická, Křenová-vlečka Šmeral</t>
  </si>
  <si>
    <t>Brno cyklistická stezka Křenová- Cejl</t>
  </si>
  <si>
    <t>SFDI</t>
  </si>
  <si>
    <t>http://www.osm.org/?way=43373377</t>
  </si>
  <si>
    <t>http://www.brno.cz/fileadmin/user_upload/sprava_mesta/magistrat_mesta_brna/ORF/ZU2010/Investice.xls
http://www.sfdi.cz/CZ/pdf/usneseni_99.pdf</t>
  </si>
  <si>
    <t>Bílovice n/S.</t>
  </si>
  <si>
    <t>C8 stezka Časnýř</t>
  </si>
  <si>
    <t>Obřany-Bílovice</t>
  </si>
  <si>
    <t>2/2009-09/2009</t>
  </si>
  <si>
    <t>o_rekreační</t>
  </si>
  <si>
    <t>Cyklostezka Brno-Obřany - Bílovice nad Svitavou</t>
  </si>
  <si>
    <t>http://www.osm.org/?way=36089750</t>
  </si>
  <si>
    <t>http://www.jihovychod.cz/rack/dotace/0000203</t>
  </si>
  <si>
    <t>Řícmanice</t>
  </si>
  <si>
    <t>C8 stezka Nad Klajdovkou</t>
  </si>
  <si>
    <t>mlatová cesta</t>
  </si>
  <si>
    <t>Klajdovka-Šimáčkova</t>
  </si>
  <si>
    <t>11/2008-05/2009</t>
  </si>
  <si>
    <t>JmK</t>
  </si>
  <si>
    <t>http://www.osm.org/?way=27546005</t>
  </si>
  <si>
    <t>http://www.ekostavby.cz/reference/dopravni-stavby/cyklostezka-lesni-cesta-nad-klajdovkou/
http://www.kr-jihomoravsky.cz/Default.aspx?PubID=139518&amp;TypeID=7</t>
  </si>
  <si>
    <t>C8 stezka podjezd Sokolova</t>
  </si>
  <si>
    <t>Řehákova-Perunova</t>
  </si>
  <si>
    <t>10/2007-10/2009</t>
  </si>
  <si>
    <t>Brno – 1. část odstavného nádraží, I. etapa</t>
  </si>
  <si>
    <t>(SŽDC)</t>
  </si>
  <si>
    <t>http://www.osm.org/?way=42425307</t>
  </si>
  <si>
    <t>http://www.szdc.cz/pro-media/tiskove-zpravy/podjezd-brno-hotov.html</t>
  </si>
  <si>
    <t>B11 stezka KČT 1 Komínská</t>
  </si>
  <si>
    <t>C11 asfaltový povrch polní cestě k zahrádkám, šířka 3m</t>
  </si>
  <si>
    <t>Sokolovna Komín – Veslařská</t>
  </si>
  <si>
    <t>"-11/2008“</t>
  </si>
  <si>
    <t>Rozvoj sítě bezpečných cyklistických tras a stezek ve městě Brně 2007-2013, I. etapa</t>
  </si>
  <si>
    <t>http://www.osm.org/?way=17416337</t>
  </si>
  <si>
    <t>http://www.jihovychod.cz/rack/dotace/0000064 http://www.brno.cz/brno-aktualne/tiskovy-servis/tiskove-zpravy/26-11-2008-otevreni-cyklisticke-stezky-komin-sokolovna-veslarska/</t>
  </si>
  <si>
    <t>C8 stezka KČT 5 K soutoku</t>
  </si>
  <si>
    <t>soutok-most D2</t>
  </si>
  <si>
    <t>http://www.osm.org/?way=33327657</t>
  </si>
  <si>
    <t>C8 stezka Purkyňova</t>
  </si>
  <si>
    <t>Herčíkova-Technolog. park</t>
  </si>
  <si>
    <t>„-05/2008“</t>
  </si>
  <si>
    <t>MUK Hradecká-Purkyňova</t>
  </si>
  <si>
    <t>http://www.osm.org/?way=37919210</t>
  </si>
  <si>
    <t>C8 stezky Kampus</t>
  </si>
  <si>
    <t>3x asfaltový chodník</t>
  </si>
  <si>
    <t>Netroufalky-Vinohrady-Jihlavská</t>
  </si>
  <si>
    <t>2002-2007</t>
  </si>
  <si>
    <t>červená etapa UK Bohunice</t>
  </si>
  <si>
    <t>http://www.osm.org/?way=32796880</t>
  </si>
  <si>
    <t>pruhy/stezka Hlinky, Pisárecká</t>
  </si>
  <si>
    <t>pruhy a asfaltový oboustranný chodník</t>
  </si>
  <si>
    <t>A. Procházky-Lipová</t>
  </si>
  <si>
    <t>12/2003-06/2007</t>
  </si>
  <si>
    <t>VMO MÚK Hlinky Bauerova</t>
  </si>
  <si>
    <t>http://www.osm.org/?way=35214840</t>
  </si>
  <si>
    <t>lávka přes Svratku Holandská</t>
  </si>
  <si>
    <t>04-09/2007</t>
  </si>
  <si>
    <t>(Immorent Brno Heršpická s.r.o.)</t>
  </si>
  <si>
    <t>http://www.osm.org/?way=35079590</t>
  </si>
  <si>
    <t>http://www.silnice-zeleznice.cz/clanek/moravske-mosty-zabodovaly-v-odborne-soutezi/%5Bobject%20Object%5D
http://www.betontks.cz/casopis/BETON_TKS_2008-04.pdf</t>
  </si>
  <si>
    <t>C8 stezka KČT 1 K soutoku</t>
  </si>
  <si>
    <t>asfaltový povrch, 2x lávka</t>
  </si>
  <si>
    <t>Vomáčkova(IKEA)-soutok</t>
  </si>
  <si>
    <t>2005-05/2006</t>
  </si>
  <si>
    <t>http://www.sfdi.cz/CZ/pdf/usneseni_52.pdf
http://www2.brno.cz/download/orf/rozpocet/2006/zaver_ucet/investice.xls</t>
  </si>
  <si>
    <t>C8 stezka Tuřanka</t>
  </si>
  <si>
    <t>Řípská-Průmyslová</t>
  </si>
  <si>
    <t>2001-2006</t>
  </si>
  <si>
    <t>BPZ Černovická terasa</t>
  </si>
  <si>
    <t>http://www2.brno.cz/download/orf/rozpocet/2006/zaver_ucet/investice.xls</t>
  </si>
  <si>
    <t>C8 stezka Strážní</t>
  </si>
  <si>
    <t>Opavská-Vsetínská</t>
  </si>
  <si>
    <t>2005-2006</t>
  </si>
  <si>
    <t>(Bauhaus, k.s.)</t>
  </si>
  <si>
    <t>http://www.osm.org/?way=43323827</t>
  </si>
  <si>
    <t>http://www.stred.brno.cz/file/332_1_1/download/
http://www.bvk.cz/files/2007/priloha_05_orl-_330__k-1.pdf</t>
  </si>
  <si>
    <t>C8 stezka MZLU</t>
  </si>
  <si>
    <t>Drobného-Zemědělská</t>
  </si>
  <si>
    <t>http://www.osm.org/?way=4083947</t>
  </si>
  <si>
    <t>http://www2.brno.cz/download/orf/rozpocet/2004/zaver_ucet/investice.xls</t>
  </si>
  <si>
    <t>most pod Veveřím</t>
  </si>
  <si>
    <t>2002-2003</t>
  </si>
  <si>
    <t>http://www.osm.org/?way=37957212</t>
  </si>
  <si>
    <t>http://www2.brno.cz/download/orf/rozpocet/2003/zaver_ucet/investice.xls</t>
  </si>
  <si>
    <t>cesty parku Lužánky</t>
  </si>
  <si>
    <t>legalizace některých cest, zřejmě ve IV. etapě</t>
  </si>
  <si>
    <t>Lužánecká-Drobného-Pionýrská</t>
  </si>
  <si>
    <t>1991-2012</t>
  </si>
  <si>
    <t>Rekonstrukce parku Lužánky I-V. etapa</t>
  </si>
  <si>
    <t>http://www.osm.org/?way=90527479</t>
  </si>
  <si>
    <t>http://encyklopedie.brna.cz/home-mmb/?acc=profil_udalosti&amp;load=3976
http://www.hantec.cz/bc/bc_02_04.htm</t>
  </si>
  <si>
    <t>C8 stezka KČT 5 Jatka</t>
  </si>
  <si>
    <t>STRABAG ČR, a.s./6</t>
  </si>
  <si>
    <t>asfaltový povrch</t>
  </si>
  <si>
    <t>Černovická – Křenová</t>
  </si>
  <si>
    <t>http://www.osm.org/?way=35085817</t>
  </si>
  <si>
    <t>http://www.brno.cz/fileadmin/user_upload/sprava_mesta/magistrat_mesta_brna/ORF/ZU2002/Investice.xls</t>
  </si>
  <si>
    <t>obousměrka S.Čecha</t>
  </si>
  <si>
    <t>pruh</t>
  </si>
  <si>
    <t>Purkyňkova-Palackého</t>
  </si>
  <si>
    <t>2001-2002</t>
  </si>
  <si>
    <t>Sv. Čecha, rek. vodovodu a kanalizace I.- III.etapa</t>
  </si>
  <si>
    <t>http://www.osm.org/?way=35680633</t>
  </si>
  <si>
    <t>http://www.brno.cz/fileadmin/user_upload/sprava_mesta/magistrat_mesta_brna/ORF/ZU2002/Investice.xls
http://kralovopole.brno.cz/soubory/80903/kronika2002.pdf</t>
  </si>
  <si>
    <t>Kohoutovice</t>
  </si>
  <si>
    <t>pruhy A.Procházky</t>
  </si>
  <si>
    <t>oboustranné cyklopruhy</t>
  </si>
  <si>
    <t>Pisárecká-Šárka</t>
  </si>
  <si>
    <t>2000-2001</t>
  </si>
  <si>
    <t>Rekonstrukce ulice Antonína Procházky</t>
  </si>
  <si>
    <t>http://www.osm.org/?way=4044027</t>
  </si>
  <si>
    <t>http://www.brno.cz/fileadmin/user_upload/sprava_mesta/magistrat_mesta_brna/ORF/ZU2001/Investice.xls
http://www.hantec.cz/bc/bc_01_08.htm</t>
  </si>
  <si>
    <t>C8 stezka KČT 1 Veslařská</t>
  </si>
  <si>
    <t>Výšina-most Bráfova</t>
  </si>
  <si>
    <t>1998-2000</t>
  </si>
  <si>
    <t>Rekonstrukce komunikace Veslařská-Jundrov</t>
  </si>
  <si>
    <t>http://www.osm.org/?way=35559183</t>
  </si>
  <si>
    <t>http://www.brno.cz/fileadmin/user_upload/sprava_mesta/magistrat_mesta_brna/ORF/ZU2000/Investice.xls</t>
  </si>
  <si>
    <t>zámková dlažba, asfaltový chodník</t>
  </si>
  <si>
    <t>Horova-Hradecká</t>
  </si>
  <si>
    <t>Cyklistická stezka Komín (Sokolovna) - Svatopluka Čecha - etapa Královopolská II</t>
  </si>
  <si>
    <t>http://www.osm.org/?way=35680624</t>
  </si>
  <si>
    <t>C11+C8 stezka KČT 1 pod dálnicí D1</t>
  </si>
  <si>
    <t>Topstav, s.r.o./3</t>
  </si>
  <si>
    <t>asfaltý povrch</t>
  </si>
  <si>
    <t>Sokolova-Bernáčkova</t>
  </si>
  <si>
    <t>Cyklistická stezka  podél Svratky,Sokolova-IKEA-Bernáčkova</t>
  </si>
  <si>
    <t>http://www.osm.org/?way=36903971</t>
  </si>
  <si>
    <t xml:space="preserve">http://www.brno.cz/fileadmin/user_upload/sprava_mesta/magistrat_mesta_brna/ORF/ZU2000/Investice.xls
</t>
  </si>
  <si>
    <t>lávka přes Svitavu, ul. Babická</t>
  </si>
  <si>
    <t>betonový most</t>
  </si>
  <si>
    <t>Mlýnské náb.-Babická</t>
  </si>
  <si>
    <t>02/2000-06/2000</t>
  </si>
  <si>
    <t>http://www.osm.org/?way=36089748</t>
  </si>
  <si>
    <t>http://www.brno.cz/fileadmin/user_upload/sprava_mesta/magistrat_mesta_brna/ORF/ZU2000/Investice.xls
http://www.okf.cz/index.php?typ=OFA&amp;showid=117</t>
  </si>
  <si>
    <t>C8 stezka KČT 1 Modřice</t>
  </si>
  <si>
    <t>Silnice Znojmo, a.s.</t>
  </si>
  <si>
    <t>soutok-Svratecká</t>
  </si>
  <si>
    <t>Cyklotrasa  Brno-Vídeň, 1.etapa, úsek Přízřenice-Modřice I</t>
  </si>
  <si>
    <t>PHARE CBC Rakousko</t>
  </si>
  <si>
    <t>http://www.mdcr.cz/NR/rdonlyres/78FD44AC-2BDD-4882-ADEA-FDFBCEE9B337/0/pharemore.rtf
http://www.ceskojede.cz/cms_dokumenty/cykloturistika-vybrane-cyklotrasy-cr-20.pdf</t>
  </si>
  <si>
    <t>C11 ČOV Modřice-Rebešovice</t>
  </si>
  <si>
    <t>Stará východní trasa</t>
  </si>
  <si>
    <t>http://www.hantec.cz/bc/bc_02_04.htm
http://www.ekoporadna.cz/_old/krucky.php?id=14</t>
  </si>
  <si>
    <t>C8 stezka KČT 5 Svitavské náb.</t>
  </si>
  <si>
    <t>Topstav, s.r.o./6</t>
  </si>
  <si>
    <t>Cejl-Gargulákova</t>
  </si>
  <si>
    <t>Trasa pro pěší a cyklisty podél Svitavy - úsek Zábrdovická - Svitavské nábřeží - Gargulákova</t>
  </si>
  <si>
    <t>http://www.osm.org/?way=31957262</t>
  </si>
  <si>
    <t>http://dokumenty.brno.cz/main/dokumenty/nahled.php?pla=vse&amp;cislo=508&amp;cislo1=&amp;soubor=/main/dokumenty/rmb/19990812-rmbR3_33.htm</t>
  </si>
  <si>
    <t>C8 stezka vozovna Komín</t>
  </si>
  <si>
    <t>IPS Brno, s.r.o./9</t>
  </si>
  <si>
    <t>zámková dlažba chodník</t>
  </si>
  <si>
    <t>Veslařská-Hlavní</t>
  </si>
  <si>
    <t>1998-1999</t>
  </si>
  <si>
    <t>Veslařská - Hlavní</t>
  </si>
  <si>
    <t>http://cs.wikipedia.org/wiki/Vozovna_Kom%C3%ADn</t>
  </si>
  <si>
    <t>C8 stezka KČT 1 Milosrdní</t>
  </si>
  <si>
    <t>asfaltový povrch, nová cesta</t>
  </si>
  <si>
    <t>Renneská-Víděnská</t>
  </si>
  <si>
    <t>http://www.osm.org/?way=17416349</t>
  </si>
  <si>
    <t>http://www.hantec.cz/bc/bc_98_03.htm</t>
  </si>
  <si>
    <t>C8 stezka KČT 1 Anthropos</t>
  </si>
  <si>
    <t>Kamenná-Anthropos</t>
  </si>
  <si>
    <t>1997-1998</t>
  </si>
  <si>
    <t>Cyklistická stezka Renneská -  pavilon Anthropos Pisárky</t>
  </si>
  <si>
    <t>http://www.osm.org/?relation=2646921</t>
  </si>
  <si>
    <t>http://www.hantec.cz/bc/bc_98_02.htm</t>
  </si>
  <si>
    <t>cesta parku Koliště</t>
  </si>
  <si>
    <t>Malinovského nám.-Jezuitská</t>
  </si>
  <si>
    <t>Rekonstrukce parku Koliště</t>
  </si>
  <si>
    <t>http://www.osm.org/?way=16371563</t>
  </si>
  <si>
    <t>http://www.brno.cz/brno-aktualne/tiskovy-servis/tiskove-zpravy/centralni-parky-jsou-opravene-zbyva-koliste-ii-etapa/</t>
  </si>
  <si>
    <t>Nový Lískovec</t>
  </si>
  <si>
    <t>podél Čertíka</t>
  </si>
  <si>
    <t>most I/23 Čertík – Riviéra</t>
  </si>
  <si>
    <t>Pisárecký tunel</t>
  </si>
  <si>
    <t>C8 stezka Královopolská I</t>
  </si>
  <si>
    <t>chodník – zámková dlažba</t>
  </si>
  <si>
    <t>Přívrat-Horova</t>
  </si>
  <si>
    <t>Rekonstrukce komunikace ulice</t>
  </si>
  <si>
    <t>C8 stezka Botanická, Chodská</t>
  </si>
  <si>
    <t>IPS Brno, s.r.o./6</t>
  </si>
  <si>
    <t>zámková dlažba</t>
  </si>
  <si>
    <t>Sokolská-Dobrovského</t>
  </si>
  <si>
    <t>1996-1997</t>
  </si>
  <si>
    <t>Cyklistické stezky – Brno-střed</t>
  </si>
  <si>
    <t>http://www.osm.org/?way=32784892</t>
  </si>
  <si>
    <t>http://www.hantec.cz/bc/bc_97_08.htm</t>
  </si>
  <si>
    <t>C8 stezka KČT 1 u Dolního nádraží</t>
  </si>
  <si>
    <t>STRABAG Bohemia, a. s., závod Brno/7</t>
  </si>
  <si>
    <t>Renneská-U vlečky</t>
  </si>
  <si>
    <t>Cyklistická stezka -hranice Brno-střed/Brno-jih (Heršpická-Renneská)</t>
  </si>
  <si>
    <t>http://www.osm.org/?way=30798839</t>
  </si>
  <si>
    <t>http://dokumenty.brno.cz/main/dokumenty/nahled.php?pla=vse&amp;cislo=362&amp;cislo1=&amp;soubor=/main/dokumenty/rmb/19960516-rmbR2_66.htm</t>
  </si>
  <si>
    <t>C8 stezka KČT 1 u retenční nádrže</t>
  </si>
  <si>
    <t>U vlečky-Kšírova</t>
  </si>
  <si>
    <t>C8 stezka KČT 1 u Baseballu</t>
  </si>
  <si>
    <t>Kšírova-Sokolova</t>
  </si>
  <si>
    <t>C8 stezka Krematorní I</t>
  </si>
  <si>
    <t>Vídeňská-Jihlavská</t>
  </si>
  <si>
    <t>Tramvajová trať Nové sady – Krematorium</t>
  </si>
  <si>
    <t>http://www.osm.org/?way=4020558</t>
  </si>
  <si>
    <t>C8 stezka KČT 1 Bystrcká</t>
  </si>
  <si>
    <t>označení chodníku a drobné vysprávky</t>
  </si>
  <si>
    <t>Rekapitulace ve valorizovaných cenách roku 2017</t>
  </si>
  <si>
    <t>primátor</t>
  </si>
  <si>
    <t>rok</t>
  </si>
  <si>
    <t>SUMA</t>
  </si>
  <si>
    <t>dotace-[1]investice</t>
  </si>
  <si>
    <t>dotace-[2]stavba</t>
  </si>
  <si>
    <t>dotace (s+i)</t>
  </si>
  <si>
    <t>výdaje města</t>
  </si>
  <si>
    <t>km</t>
  </si>
  <si>
    <t>J.Podsedník</t>
  </si>
  <si>
    <t>V.Mencl</t>
  </si>
  <si>
    <t>J.Horák</t>
  </si>
  <si>
    <t>D.Lastovecká</t>
  </si>
  <si>
    <t>P.Duchoň</t>
  </si>
  <si>
    <t>Duchoň</t>
  </si>
  <si>
    <t>R.Svoboda</t>
  </si>
  <si>
    <t>Duchoň/Svoboda</t>
  </si>
  <si>
    <t>R.Onderka</t>
  </si>
  <si>
    <t>Onderka</t>
  </si>
  <si>
    <t>P.Vokřál</t>
  </si>
  <si>
    <t>Vokřál</t>
  </si>
  <si>
    <t>Vývoj inflace ČR</t>
  </si>
  <si>
    <t>DPMB</t>
  </si>
  <si>
    <t>výkony [tis. vozkm]</t>
  </si>
  <si>
    <t>inflace [%]</t>
  </si>
  <si>
    <t>k 2015</t>
  </si>
  <si>
    <t>tram</t>
  </si>
  <si>
    <t>trol</t>
  </si>
  <si>
    <t>autobusy</t>
  </si>
  <si>
    <t>celkem</t>
  </si>
  <si>
    <t>přepravené osoby [tis.]</t>
  </si>
  <si>
    <t>tržby [mil Kč]</t>
  </si>
  <si>
    <t>IDS JMK e1/6</t>
  </si>
  <si>
    <t>IDS JMK e6/6</t>
  </si>
  <si>
    <t>Vybrané balíkové dotace pro MMB</t>
  </si>
  <si>
    <t>rok ukončení</t>
  </si>
  <si>
    <t>fond</t>
  </si>
  <si>
    <t>žadatel</t>
  </si>
  <si>
    <t>dotace</t>
  </si>
  <si>
    <t>ROP EU Jihovýchod</t>
  </si>
  <si>
    <t>Statutární město Brno</t>
  </si>
  <si>
    <t>Odhad cen dle Generelu 2010</t>
  </si>
  <si>
    <t>Kč/jednostranný bm</t>
  </si>
  <si>
    <t>organizační opatření</t>
  </si>
  <si>
    <t>liniové opatření</t>
  </si>
  <si>
    <t>Kč/m2</t>
  </si>
  <si>
    <t>stavba</t>
  </si>
  <si>
    <t>Kč/m3</t>
  </si>
  <si>
    <t>most</t>
  </si>
  <si>
    <t>Rozpočty MMB</t>
  </si>
  <si>
    <t>valorizace</t>
  </si>
  <si>
    <t>výdaje SMB (vč. MČ)</t>
  </si>
  <si>
    <t>kapitálové a provozní dotace SMB MHD</t>
  </si>
  <si>
    <t>suma investic SMB</t>
  </si>
  <si>
    <t>výdaje SMB</t>
  </si>
  <si>
    <t>výdaje na cyklo</t>
  </si>
  <si>
    <t>ostatní výdaje SMB</t>
  </si>
  <si>
    <t>2000-2014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</si>
</sst>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\ [$Kč-405];[RED]\-#,##0.00\ [$Kč-405]"/>
    <numFmt numFmtId="166" formatCode="0.0&quot; km&quot;"/>
    <numFmt numFmtId="167" formatCode="#,##0\ [$Kč-405];[RED]\-#,##0\ [$Kč-405]"/>
    <numFmt numFmtId="168" formatCode="YYYY\-MM\-DD"/>
    <numFmt numFmtId="169" formatCode="\~#,##0\ [$Kč-405];[RED]\-#,##0\ [$Kč-405]"/>
    <numFmt numFmtId="170" formatCode="#,##0&quot; mil. Kč&quot;"/>
    <numFmt numFmtId="171" formatCode="#,##0.0&quot; mil. Kč&quot;"/>
    <numFmt numFmtId="172" formatCode="MM/DD/YYYY"/>
    <numFmt numFmtId="173" formatCode="0.0"/>
    <numFmt numFmtId="174" formatCode="#,##0.0\ [$Kč-405];[RED]\-#,##0.0\ [$Kč-405]"/>
    <numFmt numFmtId="175" formatCode="0&quot; km&quot;"/>
    <numFmt numFmtId="176" formatCode="0.00%"/>
    <numFmt numFmtId="177" formatCode="#,##0&quot; tis. Kč&quot;"/>
  </numFmts>
  <fonts count="30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name val="Arial CE"/>
      <family val="2"/>
    </font>
    <font>
      <b/>
      <sz val="18"/>
      <color rgb="FF333399"/>
      <name val="Cambria"/>
      <family val="2"/>
    </font>
    <font>
      <sz val="11"/>
      <color rgb="FFFF9900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b/>
      <sz val="11"/>
      <color rgb="FFFF99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7.1"/>
      <color rgb="FF000000"/>
      <name val="Arial"/>
      <family val="2"/>
    </font>
    <font>
      <sz val="7.75"/>
      <color rgb="FF000000"/>
      <name val="Arial"/>
      <family val="2"/>
    </font>
    <font>
      <b/>
      <i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23FF2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double">
        <color rgb="FFFF99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80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3" borderId="0" applyBorder="0" applyAlignment="0" applyProtection="0"/>
    <xf numFmtId="164" fontId="4" fillId="10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3" borderId="0" applyBorder="0" applyAlignment="0" applyProtection="0"/>
    <xf numFmtId="164" fontId="5" fillId="0" borderId="1" applyAlignment="0" applyProtection="0"/>
    <xf numFmtId="164" fontId="6" fillId="11" borderId="0" applyBorder="0" applyAlignment="0" applyProtection="0"/>
    <xf numFmtId="164" fontId="7" fillId="12" borderId="2" applyAlignment="0" applyProtection="0"/>
    <xf numFmtId="164" fontId="8" fillId="0" borderId="3" applyAlignment="0" applyProtection="0"/>
    <xf numFmtId="164" fontId="9" fillId="0" borderId="4" applyAlignment="0" applyProtection="0"/>
    <xf numFmtId="164" fontId="10" fillId="0" borderId="5" applyAlignment="0" applyProtection="0"/>
    <xf numFmtId="164" fontId="10" fillId="0" borderId="0" applyBorder="0" applyAlignment="0" applyProtection="0"/>
    <xf numFmtId="164" fontId="11" fillId="8" borderId="0" applyBorder="0" applyAlignment="0" applyProtection="0"/>
    <xf numFmtId="164" fontId="12" fillId="0" borderId="0">
      <alignment/>
      <protection hidden="1"/>
    </xf>
    <xf numFmtId="164" fontId="13" fillId="0" borderId="0" applyBorder="0" applyAlignment="0" applyProtection="0"/>
    <xf numFmtId="164" fontId="0" fillId="4" borderId="6" applyAlignment="0" applyProtection="0"/>
    <xf numFmtId="164" fontId="14" fillId="0" borderId="7" applyAlignment="0" applyProtection="0"/>
    <xf numFmtId="164" fontId="15" fillId="13" borderId="0" applyBorder="0" applyAlignment="0" applyProtection="0"/>
    <xf numFmtId="164" fontId="16" fillId="0" borderId="0" applyBorder="0" applyAlignment="0" applyProtection="0"/>
    <xf numFmtId="164" fontId="17" fillId="3" borderId="8" applyAlignment="0" applyProtection="0"/>
    <xf numFmtId="164" fontId="18" fillId="0" borderId="0" applyBorder="0" applyAlignment="0" applyProtection="0"/>
    <xf numFmtId="164" fontId="19" fillId="2" borderId="8" applyAlignment="0" applyProtection="0"/>
    <xf numFmtId="164" fontId="20" fillId="2" borderId="9" applyAlignment="0" applyProtection="0"/>
    <xf numFmtId="164" fontId="4" fillId="10" borderId="0" applyBorder="0" applyAlignment="0" applyProtection="0"/>
    <xf numFmtId="164" fontId="4" fillId="14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0" borderId="0" applyBorder="0" applyAlignment="0" applyProtection="0"/>
    <xf numFmtId="164" fontId="4" fillId="17" borderId="0" applyBorder="0" applyAlignment="0" applyProtection="0"/>
  </cellStyleXfs>
  <cellXfs count="142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left"/>
      <protection hidden="1"/>
    </xf>
    <xf numFmtId="164" fontId="21" fillId="0" borderId="0" xfId="0" applyFont="1" applyAlignment="1" applyProtection="1">
      <alignment/>
      <protection hidden="1"/>
    </xf>
    <xf numFmtId="164" fontId="21" fillId="0" borderId="10" xfId="0" applyFont="1" applyBorder="1" applyAlignment="1" applyProtection="1">
      <alignment horizontal="center" wrapText="1"/>
      <protection hidden="1"/>
    </xf>
    <xf numFmtId="164" fontId="21" fillId="0" borderId="10" xfId="0" applyFont="1" applyBorder="1" applyAlignment="1" applyProtection="1">
      <alignment horizontal="center"/>
      <protection hidden="1"/>
    </xf>
    <xf numFmtId="164" fontId="0" fillId="0" borderId="10" xfId="0" applyFont="1" applyBorder="1" applyAlignment="1" applyProtection="1">
      <alignment/>
      <protection hidden="1"/>
    </xf>
    <xf numFmtId="164" fontId="0" fillId="18" borderId="10" xfId="0" applyFont="1" applyBorder="1" applyAlignment="1" applyProtection="1">
      <alignment horizontal="right" wrapText="1"/>
      <protection hidden="1"/>
    </xf>
    <xf numFmtId="164" fontId="0" fillId="18" borderId="10" xfId="0" applyFont="1" applyBorder="1" applyAlignment="1" applyProtection="1">
      <alignment horizontal="left"/>
      <protection hidden="1"/>
    </xf>
    <xf numFmtId="164" fontId="0" fillId="18" borderId="10" xfId="0" applyFont="1" applyBorder="1" applyAlignment="1" applyProtection="1">
      <alignment wrapText="1"/>
      <protection hidden="1"/>
    </xf>
    <xf numFmtId="166" fontId="0" fillId="18" borderId="10" xfId="0" applyBorder="1" applyAlignment="1" applyProtection="1">
      <alignment/>
      <protection hidden="1"/>
    </xf>
    <xf numFmtId="167" fontId="0" fillId="18" borderId="10" xfId="0" applyFont="1" applyBorder="1" applyAlignment="1" applyProtection="1">
      <alignment/>
      <protection hidden="1"/>
    </xf>
    <xf numFmtId="164" fontId="0" fillId="18" borderId="10" xfId="0" applyFont="1" applyBorder="1" applyAlignment="1" applyProtection="1">
      <alignment horizontal="center"/>
      <protection hidden="1"/>
    </xf>
    <xf numFmtId="164" fontId="0" fillId="18" borderId="10" xfId="0" applyFont="1" applyBorder="1" applyAlignment="1" applyProtection="1">
      <alignment horizontal="left" wrapText="1"/>
      <protection hidden="1"/>
    </xf>
    <xf numFmtId="164" fontId="0" fillId="18" borderId="10" xfId="0" applyFont="1" applyBorder="1" applyAlignment="1" applyProtection="1">
      <alignment horizontal="center" wrapText="1"/>
      <protection hidden="1"/>
    </xf>
    <xf numFmtId="168" fontId="0" fillId="18" borderId="10" xfId="0" applyFont="1" applyBorder="1" applyAlignment="1" applyProtection="1">
      <alignment horizontal="right"/>
      <protection hidden="1"/>
    </xf>
    <xf numFmtId="164" fontId="0" fillId="19" borderId="10" xfId="0" applyBorder="1" applyAlignment="1" applyProtection="1">
      <alignment/>
      <protection hidden="1"/>
    </xf>
    <xf numFmtId="164" fontId="0" fillId="19" borderId="10" xfId="0" applyFont="1" applyBorder="1" applyAlignment="1" applyProtection="1">
      <alignment wrapText="1"/>
      <protection hidden="1"/>
    </xf>
    <xf numFmtId="166" fontId="0" fillId="19" borderId="10" xfId="0" applyBorder="1" applyAlignment="1" applyProtection="1">
      <alignment/>
      <protection hidden="1"/>
    </xf>
    <xf numFmtId="169" fontId="22" fillId="20" borderId="10" xfId="0" applyFont="1" applyBorder="1" applyAlignment="1" applyProtection="1">
      <alignment/>
      <protection hidden="1"/>
    </xf>
    <xf numFmtId="167" fontId="0" fillId="19" borderId="10" xfId="0" applyFont="1" applyBorder="1" applyAlignment="1" applyProtection="1">
      <alignment wrapText="1"/>
      <protection hidden="1"/>
    </xf>
    <xf numFmtId="170" fontId="0" fillId="19" borderId="10" xfId="0" applyFont="1" applyBorder="1" applyAlignment="1" applyProtection="1">
      <alignment/>
      <protection hidden="1"/>
    </xf>
    <xf numFmtId="171" fontId="0" fillId="19" borderId="10" xfId="0" applyFont="1" applyBorder="1" applyAlignment="1" applyProtection="1">
      <alignment/>
      <protection hidden="1"/>
    </xf>
    <xf numFmtId="164" fontId="0" fillId="19" borderId="10" xfId="0" applyFont="1" applyBorder="1" applyAlignment="1" applyProtection="1">
      <alignment/>
      <protection hidden="1"/>
    </xf>
    <xf numFmtId="164" fontId="0" fillId="19" borderId="10" xfId="0" applyFont="1" applyBorder="1" applyAlignment="1" applyProtection="1">
      <alignment horizontal="right"/>
      <protection hidden="1"/>
    </xf>
    <xf numFmtId="164" fontId="0" fillId="19" borderId="10" xfId="0" applyFont="1" applyBorder="1" applyAlignment="1" applyProtection="1">
      <alignment horizontal="left" wrapText="1"/>
      <protection hidden="1"/>
    </xf>
    <xf numFmtId="168" fontId="0" fillId="19" borderId="10" xfId="0" applyBorder="1" applyAlignment="1" applyProtection="1">
      <alignment/>
      <protection hidden="1"/>
    </xf>
    <xf numFmtId="169" fontId="22" fillId="18" borderId="10" xfId="0" applyFont="1" applyBorder="1" applyAlignment="1" applyProtection="1">
      <alignment/>
      <protection hidden="1"/>
    </xf>
    <xf numFmtId="172" fontId="0" fillId="18" borderId="10" xfId="0" applyFont="1" applyBorder="1" applyAlignment="1" applyProtection="1">
      <alignment horizontal="right"/>
      <protection hidden="1"/>
    </xf>
    <xf numFmtId="164" fontId="0" fillId="5" borderId="10" xfId="0" applyBorder="1" applyAlignment="1" applyProtection="1">
      <alignment/>
      <protection hidden="1"/>
    </xf>
    <xf numFmtId="164" fontId="0" fillId="5" borderId="10" xfId="0" applyFont="1" applyBorder="1" applyAlignment="1" applyProtection="1">
      <alignment wrapText="1"/>
      <protection hidden="1"/>
    </xf>
    <xf numFmtId="166" fontId="0" fillId="5" borderId="10" xfId="0" applyBorder="1" applyAlignment="1" applyProtection="1">
      <alignment/>
      <protection hidden="1"/>
    </xf>
    <xf numFmtId="167" fontId="0" fillId="5" borderId="10" xfId="0" applyFont="1" applyBorder="1" applyAlignment="1" applyProtection="1">
      <alignment/>
      <protection hidden="1"/>
    </xf>
    <xf numFmtId="167" fontId="0" fillId="5" borderId="10" xfId="0" applyFont="1" applyBorder="1" applyAlignment="1" applyProtection="1">
      <alignment wrapText="1"/>
      <protection hidden="1"/>
    </xf>
    <xf numFmtId="170" fontId="0" fillId="5" borderId="10" xfId="0" applyFont="1" applyBorder="1" applyAlignment="1" applyProtection="1">
      <alignment/>
      <protection hidden="1"/>
    </xf>
    <xf numFmtId="164" fontId="0" fillId="5" borderId="10" xfId="0" applyFont="1" applyBorder="1" applyAlignment="1" applyProtection="1">
      <alignment/>
      <protection hidden="1"/>
    </xf>
    <xf numFmtId="164" fontId="0" fillId="5" borderId="10" xfId="0" applyFont="1" applyBorder="1" applyAlignment="1" applyProtection="1">
      <alignment horizontal="right"/>
      <protection hidden="1"/>
    </xf>
    <xf numFmtId="164" fontId="23" fillId="5" borderId="10" xfId="0" applyFont="1" applyBorder="1" applyAlignment="1" applyProtection="1">
      <alignment horizontal="left"/>
      <protection hidden="1"/>
    </xf>
    <xf numFmtId="172" fontId="0" fillId="5" borderId="10" xfId="0" applyBorder="1" applyAlignment="1" applyProtection="1">
      <alignment/>
      <protection hidden="1"/>
    </xf>
    <xf numFmtId="172" fontId="0" fillId="19" borderId="10" xfId="0" applyBorder="1" applyAlignment="1" applyProtection="1">
      <alignment/>
      <protection hidden="1"/>
    </xf>
    <xf numFmtId="171" fontId="0" fillId="5" borderId="10" xfId="0" applyFont="1" applyBorder="1" applyAlignment="1" applyProtection="1">
      <alignment/>
      <protection hidden="1"/>
    </xf>
    <xf numFmtId="164" fontId="0" fillId="21" borderId="10" xfId="0" applyFont="1" applyBorder="1" applyAlignment="1" applyProtection="1">
      <alignment horizontal="right" wrapText="1"/>
      <protection hidden="1"/>
    </xf>
    <xf numFmtId="164" fontId="0" fillId="21" borderId="10" xfId="0" applyFont="1" applyBorder="1" applyAlignment="1" applyProtection="1">
      <alignment horizontal="left"/>
      <protection hidden="1"/>
    </xf>
    <xf numFmtId="164" fontId="0" fillId="21" borderId="10" xfId="0" applyFont="1" applyBorder="1" applyAlignment="1" applyProtection="1">
      <alignment wrapText="1"/>
      <protection hidden="1"/>
    </xf>
    <xf numFmtId="166" fontId="0" fillId="21" borderId="10" xfId="0" applyBorder="1" applyAlignment="1" applyProtection="1">
      <alignment/>
      <protection hidden="1"/>
    </xf>
    <xf numFmtId="169" fontId="22" fillId="21" borderId="10" xfId="0" applyFont="1" applyBorder="1" applyAlignment="1" applyProtection="1">
      <alignment/>
      <protection hidden="1"/>
    </xf>
    <xf numFmtId="167" fontId="0" fillId="21" borderId="10" xfId="0" applyFont="1" applyBorder="1" applyAlignment="1" applyProtection="1">
      <alignment/>
      <protection hidden="1"/>
    </xf>
    <xf numFmtId="164" fontId="0" fillId="21" borderId="10" xfId="0" applyFont="1" applyBorder="1" applyAlignment="1" applyProtection="1">
      <alignment horizontal="center"/>
      <protection hidden="1"/>
    </xf>
    <xf numFmtId="164" fontId="0" fillId="21" borderId="10" xfId="0" applyFont="1" applyBorder="1" applyAlignment="1" applyProtection="1">
      <alignment horizontal="left" wrapText="1"/>
      <protection hidden="1"/>
    </xf>
    <xf numFmtId="164" fontId="0" fillId="21" borderId="10" xfId="0" applyFont="1" applyBorder="1" applyAlignment="1" applyProtection="1">
      <alignment horizontal="center" wrapText="1"/>
      <protection hidden="1"/>
    </xf>
    <xf numFmtId="172" fontId="0" fillId="21" borderId="10" xfId="0" applyFont="1" applyBorder="1" applyAlignment="1" applyProtection="1">
      <alignment horizontal="right"/>
      <protection hidden="1"/>
    </xf>
    <xf numFmtId="164" fontId="0" fillId="18" borderId="0" xfId="0" applyFont="1" applyAlignment="1" applyProtection="1">
      <alignment/>
      <protection hidden="1"/>
    </xf>
    <xf numFmtId="164" fontId="0" fillId="19" borderId="0" xfId="0" applyAlignment="1" applyProtection="1">
      <alignment/>
      <protection hidden="1"/>
    </xf>
    <xf numFmtId="167" fontId="22" fillId="19" borderId="10" xfId="0" applyFont="1" applyBorder="1" applyAlignment="1" applyProtection="1">
      <alignment wrapText="1"/>
      <protection hidden="1"/>
    </xf>
    <xf numFmtId="164" fontId="0" fillId="18" borderId="10" xfId="0" applyBorder="1" applyAlignment="1" applyProtection="1">
      <alignment/>
      <protection hidden="1"/>
    </xf>
    <xf numFmtId="170" fontId="0" fillId="18" borderId="10" xfId="0" applyFont="1" applyBorder="1" applyAlignment="1" applyProtection="1">
      <alignment/>
      <protection hidden="1"/>
    </xf>
    <xf numFmtId="164" fontId="0" fillId="18" borderId="10" xfId="0" applyFont="1" applyBorder="1" applyAlignment="1" applyProtection="1">
      <alignment/>
      <protection hidden="1"/>
    </xf>
    <xf numFmtId="164" fontId="0" fillId="18" borderId="10" xfId="0" applyFont="1" applyBorder="1" applyAlignment="1" applyProtection="1">
      <alignment horizontal="right"/>
      <protection hidden="1"/>
    </xf>
    <xf numFmtId="172" fontId="0" fillId="18" borderId="10" xfId="0" applyBorder="1" applyAlignment="1" applyProtection="1">
      <alignment/>
      <protection hidden="1"/>
    </xf>
    <xf numFmtId="164" fontId="0" fillId="18" borderId="0" xfId="0" applyAlignment="1" applyProtection="1">
      <alignment/>
      <protection hidden="1"/>
    </xf>
    <xf numFmtId="167" fontId="22" fillId="19" borderId="10" xfId="0" applyFont="1" applyBorder="1" applyAlignment="1" applyProtection="1">
      <alignment/>
      <protection hidden="1"/>
    </xf>
    <xf numFmtId="164" fontId="0" fillId="19" borderId="0" xfId="0" applyFont="1" applyAlignment="1" applyProtection="1">
      <alignment wrapText="1"/>
      <protection hidden="1"/>
    </xf>
    <xf numFmtId="164" fontId="0" fillId="5" borderId="10" xfId="0" applyFont="1" applyBorder="1" applyAlignment="1" applyProtection="1">
      <alignment horizontal="left" wrapText="1"/>
      <protection hidden="1"/>
    </xf>
    <xf numFmtId="164" fontId="0" fillId="5" borderId="10" xfId="0" applyFont="1" applyBorder="1" applyAlignment="1" applyProtection="1">
      <alignment horizontal="left"/>
      <protection hidden="1"/>
    </xf>
    <xf numFmtId="164" fontId="0" fillId="5" borderId="0" xfId="0" applyAlignment="1" applyProtection="1">
      <alignment/>
      <protection hidden="1"/>
    </xf>
    <xf numFmtId="164" fontId="0" fillId="21" borderId="10" xfId="0" applyBorder="1" applyAlignment="1" applyProtection="1">
      <alignment/>
      <protection hidden="1"/>
    </xf>
    <xf numFmtId="167" fontId="0" fillId="21" borderId="11" xfId="0" applyBorder="1" applyAlignment="1" applyProtection="1">
      <alignment/>
      <protection hidden="1"/>
    </xf>
    <xf numFmtId="167" fontId="22" fillId="21" borderId="10" xfId="0" applyFont="1" applyBorder="1" applyAlignment="1" applyProtection="1">
      <alignment/>
      <protection hidden="1"/>
    </xf>
    <xf numFmtId="164" fontId="0" fillId="21" borderId="10" xfId="0" applyFont="1" applyBorder="1" applyAlignment="1" applyProtection="1">
      <alignment/>
      <protection hidden="1"/>
    </xf>
    <xf numFmtId="164" fontId="21" fillId="21" borderId="10" xfId="0" applyFont="1" applyBorder="1" applyAlignment="1" applyProtection="1">
      <alignment wrapText="1"/>
      <protection hidden="1"/>
    </xf>
    <xf numFmtId="164" fontId="0" fillId="21" borderId="10" xfId="0" applyFont="1" applyBorder="1" applyAlignment="1" applyProtection="1">
      <alignment horizontal="right"/>
      <protection hidden="1"/>
    </xf>
    <xf numFmtId="172" fontId="0" fillId="21" borderId="10" xfId="0" applyBorder="1" applyAlignment="1" applyProtection="1">
      <alignment/>
      <protection hidden="1"/>
    </xf>
    <xf numFmtId="164" fontId="0" fillId="5" borderId="0" xfId="0" applyFont="1" applyAlignment="1" applyProtection="1">
      <alignment horizontal="left" wrapText="1"/>
      <protection hidden="1"/>
    </xf>
    <xf numFmtId="164" fontId="0" fillId="19" borderId="0" xfId="0" applyFont="1" applyAlignment="1" applyProtection="1">
      <alignment horizontal="left"/>
      <protection hidden="1"/>
    </xf>
    <xf numFmtId="169" fontId="22" fillId="5" borderId="10" xfId="0" applyFont="1" applyBorder="1" applyAlignment="1" applyProtection="1">
      <alignment/>
      <protection hidden="1"/>
    </xf>
    <xf numFmtId="164" fontId="0" fillId="20" borderId="10" xfId="0" applyFont="1" applyBorder="1" applyAlignment="1" applyProtection="1">
      <alignment horizontal="left"/>
      <protection hidden="1"/>
    </xf>
    <xf numFmtId="164" fontId="0" fillId="20" borderId="10" xfId="0" applyFont="1" applyBorder="1" applyAlignment="1" applyProtection="1">
      <alignment horizontal="left" wrapText="1"/>
      <protection hidden="1"/>
    </xf>
    <xf numFmtId="167" fontId="22" fillId="18" borderId="10" xfId="0" applyFont="1" applyBorder="1" applyAlignment="1" applyProtection="1">
      <alignment/>
      <protection hidden="1"/>
    </xf>
    <xf numFmtId="170" fontId="21" fillId="19" borderId="10" xfId="0" applyFont="1" applyBorder="1" applyAlignment="1" applyProtection="1">
      <alignment/>
      <protection hidden="1"/>
    </xf>
    <xf numFmtId="164" fontId="0" fillId="19" borderId="0" xfId="0" applyFont="1" applyAlignment="1" applyProtection="1">
      <alignment/>
      <protection hidden="1"/>
    </xf>
    <xf numFmtId="167" fontId="0" fillId="18" borderId="11" xfId="0" applyBorder="1" applyAlignment="1" applyProtection="1">
      <alignment/>
      <protection hidden="1"/>
    </xf>
    <xf numFmtId="164" fontId="21" fillId="18" borderId="10" xfId="0" applyFont="1" applyBorder="1" applyAlignment="1" applyProtection="1">
      <alignment wrapText="1"/>
      <protection hidden="1"/>
    </xf>
    <xf numFmtId="171" fontId="0" fillId="21" borderId="10" xfId="0" applyFont="1" applyBorder="1" applyAlignment="1" applyProtection="1">
      <alignment/>
      <protection hidden="1"/>
    </xf>
    <xf numFmtId="164" fontId="0" fillId="5" borderId="0" xfId="0" applyFont="1" applyAlignment="1" applyProtection="1">
      <alignment/>
      <protection hidden="1"/>
    </xf>
    <xf numFmtId="164" fontId="0" fillId="5" borderId="0" xfId="0" applyFont="1" applyAlignment="1" applyProtection="1">
      <alignment wrapText="1"/>
      <protection hidden="1"/>
    </xf>
    <xf numFmtId="164" fontId="0" fillId="22" borderId="10" xfId="0" applyBorder="1" applyAlignment="1" applyProtection="1">
      <alignment/>
      <protection hidden="1"/>
    </xf>
    <xf numFmtId="164" fontId="21" fillId="22" borderId="10" xfId="0" applyFont="1" applyBorder="1" applyAlignment="1" applyProtection="1">
      <alignment wrapText="1"/>
      <protection hidden="1"/>
    </xf>
    <xf numFmtId="164" fontId="0" fillId="22" borderId="10" xfId="0" applyFont="1" applyBorder="1" applyAlignment="1" applyProtection="1">
      <alignment wrapText="1"/>
      <protection hidden="1"/>
    </xf>
    <xf numFmtId="166" fontId="0" fillId="22" borderId="10" xfId="0" applyBorder="1" applyAlignment="1" applyProtection="1">
      <alignment/>
      <protection hidden="1"/>
    </xf>
    <xf numFmtId="167" fontId="0" fillId="22" borderId="10" xfId="0" applyFont="1" applyBorder="1" applyAlignment="1" applyProtection="1">
      <alignment/>
      <protection hidden="1"/>
    </xf>
    <xf numFmtId="170" fontId="0" fillId="22" borderId="10" xfId="0" applyFont="1" applyBorder="1" applyAlignment="1" applyProtection="1">
      <alignment/>
      <protection hidden="1"/>
    </xf>
    <xf numFmtId="171" fontId="0" fillId="22" borderId="10" xfId="0" applyFont="1" applyBorder="1" applyAlignment="1" applyProtection="1">
      <alignment/>
      <protection hidden="1"/>
    </xf>
    <xf numFmtId="164" fontId="0" fillId="22" borderId="10" xfId="0" applyFont="1" applyBorder="1" applyAlignment="1" applyProtection="1">
      <alignment/>
      <protection hidden="1"/>
    </xf>
    <xf numFmtId="164" fontId="0" fillId="22" borderId="10" xfId="0" applyFont="1" applyBorder="1" applyAlignment="1" applyProtection="1">
      <alignment horizontal="right"/>
      <protection hidden="1"/>
    </xf>
    <xf numFmtId="164" fontId="0" fillId="22" borderId="0" xfId="0" applyFont="1" applyAlignment="1" applyProtection="1">
      <alignment horizontal="left" wrapText="1"/>
      <protection hidden="1"/>
    </xf>
    <xf numFmtId="172" fontId="0" fillId="22" borderId="10" xfId="0" applyBorder="1" applyAlignment="1" applyProtection="1">
      <alignment/>
      <protection hidden="1"/>
    </xf>
    <xf numFmtId="164" fontId="0" fillId="22" borderId="0" xfId="0" applyFont="1" applyAlignment="1" applyProtection="1">
      <alignment/>
      <protection hidden="1"/>
    </xf>
    <xf numFmtId="164" fontId="0" fillId="22" borderId="10" xfId="0" applyFont="1" applyBorder="1" applyAlignment="1" applyProtection="1">
      <alignment horizontal="left" wrapText="1"/>
      <protection hidden="1"/>
    </xf>
    <xf numFmtId="166" fontId="0" fillId="22" borderId="10" xfId="0" applyFont="1" applyBorder="1" applyAlignment="1" applyProtection="1">
      <alignment/>
      <protection hidden="1"/>
    </xf>
    <xf numFmtId="164" fontId="22" fillId="22" borderId="10" xfId="0" applyFont="1" applyBorder="1" applyAlignment="1" applyProtection="1">
      <alignment wrapText="1"/>
      <protection hidden="1"/>
    </xf>
    <xf numFmtId="167" fontId="22" fillId="22" borderId="10" xfId="0" applyFont="1" applyBorder="1" applyAlignment="1" applyProtection="1">
      <alignment/>
      <protection hidden="1"/>
    </xf>
    <xf numFmtId="164" fontId="0" fillId="22" borderId="0" xfId="0" applyFont="1" applyAlignment="1" applyProtection="1">
      <alignment wrapText="1"/>
      <protection hidden="1"/>
    </xf>
    <xf numFmtId="172" fontId="0" fillId="22" borderId="10" xfId="0" applyFont="1" applyBorder="1" applyAlignment="1" applyProtection="1">
      <alignment/>
      <protection hidden="1"/>
    </xf>
    <xf numFmtId="164" fontId="0" fillId="19" borderId="0" xfId="0" applyFont="1" applyAlignment="1" applyProtection="1">
      <alignment horizontal="left" wrapText="1"/>
      <protection hidden="1"/>
    </xf>
    <xf numFmtId="171" fontId="22" fillId="5" borderId="10" xfId="0" applyFont="1" applyBorder="1" applyAlignment="1" applyProtection="1">
      <alignment/>
      <protection hidden="1"/>
    </xf>
    <xf numFmtId="166" fontId="0" fillId="19" borderId="10" xfId="0" applyFont="1" applyBorder="1" applyAlignment="1" applyProtection="1">
      <alignment/>
      <protection hidden="1"/>
    </xf>
    <xf numFmtId="172" fontId="0" fillId="19" borderId="10" xfId="0" applyFont="1" applyBorder="1" applyAlignment="1" applyProtection="1">
      <alignment/>
      <protection hidden="1"/>
    </xf>
    <xf numFmtId="167" fontId="22" fillId="5" borderId="10" xfId="0" applyFont="1" applyBorder="1" applyAlignment="1" applyProtection="1">
      <alignment/>
      <protection hidden="1"/>
    </xf>
    <xf numFmtId="164" fontId="0" fillId="5" borderId="0" xfId="0" applyFont="1" applyAlignment="1" applyProtection="1">
      <alignment horizontal="right"/>
      <protection hidden="1"/>
    </xf>
    <xf numFmtId="171" fontId="0" fillId="18" borderId="10" xfId="0" applyFont="1" applyBorder="1" applyAlignment="1" applyProtection="1">
      <alignment/>
      <protection hidden="1"/>
    </xf>
    <xf numFmtId="164" fontId="24" fillId="0" borderId="0" xfId="0" applyFont="1" applyBorder="1" applyAlignment="1" applyProtection="1">
      <alignment horizontal="left"/>
      <protection hidden="1"/>
    </xf>
    <xf numFmtId="164" fontId="21" fillId="0" borderId="0" xfId="0" applyFont="1" applyBorder="1" applyAlignment="1" applyProtection="1">
      <alignment horizontal="center"/>
      <protection hidden="1"/>
    </xf>
    <xf numFmtId="164" fontId="21" fillId="0" borderId="0" xfId="0" applyFont="1" applyBorder="1" applyAlignment="1" applyProtection="1">
      <alignment horizontal="center" wrapText="1"/>
      <protection hidden="1"/>
    </xf>
    <xf numFmtId="164" fontId="21" fillId="0" borderId="0" xfId="0" applyFont="1" applyBorder="1" applyAlignment="1" applyProtection="1">
      <alignment horizontal="right"/>
      <protection hidden="1"/>
    </xf>
    <xf numFmtId="164" fontId="21" fillId="0" borderId="11" xfId="0" applyFont="1" applyBorder="1" applyAlignment="1" applyProtection="1">
      <alignment horizontal="center"/>
      <protection hidden="1"/>
    </xf>
    <xf numFmtId="164" fontId="21" fillId="0" borderId="11" xfId="0" applyFont="1" applyBorder="1" applyAlignment="1" applyProtection="1">
      <alignment horizontal="center" wrapText="1"/>
      <protection hidden="1"/>
    </xf>
    <xf numFmtId="164" fontId="21" fillId="0" borderId="11" xfId="0" applyFont="1" applyBorder="1" applyAlignment="1" applyProtection="1">
      <alignment horizontal="right"/>
      <protection hidden="1"/>
    </xf>
    <xf numFmtId="164" fontId="0" fillId="0" borderId="11" xfId="0" applyFont="1" applyBorder="1" applyAlignment="1" applyProtection="1">
      <alignment/>
      <protection hidden="1"/>
    </xf>
    <xf numFmtId="164" fontId="21" fillId="0" borderId="11" xfId="0" applyFont="1" applyBorder="1" applyAlignment="1" applyProtection="1">
      <alignment/>
      <protection hidden="1"/>
    </xf>
    <xf numFmtId="167" fontId="0" fillId="0" borderId="11" xfId="0" applyBorder="1" applyAlignment="1" applyProtection="1">
      <alignment/>
      <protection hidden="1"/>
    </xf>
    <xf numFmtId="166" fontId="0" fillId="0" borderId="11" xfId="0" applyBorder="1" applyAlignment="1" applyProtection="1">
      <alignment/>
      <protection hidden="1"/>
    </xf>
    <xf numFmtId="167" fontId="0" fillId="0" borderId="10" xfId="0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center" vertical="center"/>
      <protection hidden="1"/>
    </xf>
    <xf numFmtId="167" fontId="0" fillId="0" borderId="0" xfId="0" applyBorder="1" applyAlignment="1" applyProtection="1">
      <alignment/>
      <protection hidden="1"/>
    </xf>
    <xf numFmtId="167" fontId="0" fillId="0" borderId="0" xfId="0" applyAlignment="1" applyProtection="1">
      <alignment/>
      <protection hidden="1"/>
    </xf>
    <xf numFmtId="173" fontId="0" fillId="0" borderId="0" xfId="0" applyAlignment="1" applyProtection="1">
      <alignment/>
      <protection hidden="1"/>
    </xf>
    <xf numFmtId="174" fontId="0" fillId="0" borderId="0" xfId="0" applyAlignment="1" applyProtection="1">
      <alignment/>
      <protection hidden="1"/>
    </xf>
    <xf numFmtId="164" fontId="24" fillId="0" borderId="0" xfId="0" applyFont="1" applyAlignment="1" applyProtection="1">
      <alignment/>
      <protection hidden="1"/>
    </xf>
    <xf numFmtId="164" fontId="21" fillId="0" borderId="0" xfId="0" applyFont="1" applyBorder="1" applyAlignment="1" applyProtection="1">
      <alignment horizontal="center"/>
      <protection hidden="1"/>
    </xf>
    <xf numFmtId="164" fontId="0" fillId="0" borderId="10" xfId="0" applyBorder="1" applyAlignment="1" applyProtection="1">
      <alignment/>
      <protection hidden="1"/>
    </xf>
    <xf numFmtId="176" fontId="0" fillId="0" borderId="0" xfId="0" applyAlignment="1" applyProtection="1">
      <alignment/>
      <protection hidden="1"/>
    </xf>
    <xf numFmtId="164" fontId="0" fillId="0" borderId="10" xfId="0" applyFont="1" applyBorder="1" applyAlignment="1" applyProtection="1">
      <alignment/>
      <protection hidden="1"/>
    </xf>
    <xf numFmtId="164" fontId="21" fillId="0" borderId="10" xfId="0" applyFont="1" applyBorder="1" applyAlignment="1" applyProtection="1">
      <alignment wrapText="1"/>
      <protection hidden="1"/>
    </xf>
    <xf numFmtId="164" fontId="21" fillId="0" borderId="10" xfId="0" applyFont="1" applyBorder="1" applyAlignment="1" applyProtection="1">
      <alignment/>
      <protection hidden="1"/>
    </xf>
    <xf numFmtId="164" fontId="0" fillId="0" borderId="10" xfId="0" applyFont="1" applyBorder="1" applyAlignment="1" applyProtection="1">
      <alignment wrapText="1"/>
      <protection hidden="1"/>
    </xf>
    <xf numFmtId="164" fontId="0" fillId="0" borderId="10" xfId="0" applyFont="1" applyBorder="1" applyAlignment="1" applyProtection="1">
      <alignment vertical="top" wrapText="1"/>
      <protection hidden="1"/>
    </xf>
    <xf numFmtId="167" fontId="0" fillId="0" borderId="10" xfId="0" applyFont="1" applyBorder="1" applyAlignment="1" applyProtection="1">
      <alignment wrapText="1"/>
      <protection hidden="1"/>
    </xf>
    <xf numFmtId="167" fontId="0" fillId="0" borderId="10" xfId="0" applyFont="1" applyBorder="1" applyAlignment="1" applyProtection="1">
      <alignment/>
      <protection hidden="1"/>
    </xf>
    <xf numFmtId="164" fontId="21" fillId="0" borderId="0" xfId="0" applyFont="1" applyAlignment="1" applyProtection="1">
      <alignment horizontal="center"/>
      <protection hidden="1"/>
    </xf>
    <xf numFmtId="164" fontId="21" fillId="0" borderId="10" xfId="0" applyFont="1" applyBorder="1" applyAlignment="1" applyProtection="1">
      <alignment horizontal="center" vertical="center"/>
      <protection hidden="1"/>
    </xf>
    <xf numFmtId="177" fontId="0" fillId="0" borderId="10" xfId="0" applyFont="1" applyBorder="1" applyAlignment="1" applyProtection="1">
      <alignment/>
      <protection hidden="1"/>
    </xf>
    <xf numFmtId="177" fontId="29" fillId="0" borderId="10" xfId="0" applyFont="1" applyBorder="1" applyAlignment="1" applyProtection="1">
      <alignment/>
      <protection hidden="1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esult" xfId="34"/>
    <cellStyle name="Result2" xfId="35"/>
    <cellStyle name="Heading" xfId="36"/>
    <cellStyle name="Heading1" xfId="37"/>
    <cellStyle name="20 % – Zvýraznění1" xfId="38"/>
    <cellStyle name="20 % – Zvýraznění2" xfId="39"/>
    <cellStyle name="20 % – Zvýraznění3" xfId="40"/>
    <cellStyle name="20 % – Zvýraznění4" xfId="41"/>
    <cellStyle name="20 % – Zvýraznění5" xfId="42"/>
    <cellStyle name="20 % – Zvýraznění6" xfId="43"/>
    <cellStyle name="40 % – Zvýraznění1" xfId="44"/>
    <cellStyle name="40 % – Zvýraznění2" xfId="45"/>
    <cellStyle name="40 % – Zvýraznění3" xfId="46"/>
    <cellStyle name="40 % – Zvýraznění4" xfId="47"/>
    <cellStyle name="40 % – Zvýraznění5" xfId="48"/>
    <cellStyle name="40 % – Zvýraznění6" xfId="49"/>
    <cellStyle name="60 % – Zvýraznění1" xfId="50"/>
    <cellStyle name="60 % – Zvýraznění2" xfId="51"/>
    <cellStyle name="60 % – Zvýraznění3" xfId="52"/>
    <cellStyle name="60 % – Zvýraznění4" xfId="53"/>
    <cellStyle name="60 % – Zvýraznění5" xfId="54"/>
    <cellStyle name="60 % – Zvýraznění6" xfId="55"/>
    <cellStyle name="Celkem" xfId="56"/>
    <cellStyle name="Chybně" xfId="57"/>
    <cellStyle name="Kontrolní buňka" xfId="58"/>
    <cellStyle name="Nadpis 1" xfId="59"/>
    <cellStyle name="Nadpis 2" xfId="60"/>
    <cellStyle name="Nadpis 3" xfId="61"/>
    <cellStyle name="Nadpis 4" xfId="62"/>
    <cellStyle name="Neutrální" xfId="63"/>
    <cellStyle name="normální_KV4Q2008" xfId="64"/>
    <cellStyle name="Název" xfId="65"/>
    <cellStyle name="Poznámka" xfId="66"/>
    <cellStyle name="Propojená buňka" xfId="67"/>
    <cellStyle name="Správně" xfId="68"/>
    <cellStyle name="Text upozornění" xfId="69"/>
    <cellStyle name="Vstup" xfId="70"/>
    <cellStyle name="Vysvětlující text" xfId="71"/>
    <cellStyle name="Výpočet" xfId="72"/>
    <cellStyle name="Výstup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83CAFF"/>
      <rgbColor rgb="00FF420E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950E"/>
      <rgbColor rgb="0000FFFF"/>
      <rgbColor rgb="00800080"/>
      <rgbColor rgb="006633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CC9900"/>
      <rgbColor rgb="00FFD320"/>
      <rgbColor rgb="00FF9900"/>
      <rgbColor rgb="00FF6600"/>
      <rgbColor rgb="00666699"/>
      <rgbColor rgb="00969696"/>
      <rgbColor rgb="00004586"/>
      <rgbColor rgb="00339966"/>
      <rgbColor rgb="00003300"/>
      <rgbColor rgb="00314004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dotací na nákladech cyklo-infrastruktury
ceny valorizovány na rok 2017</a:t>
            </a:r>
          </a:p>
        </c:rich>
      </c:tx>
      <c:layout>
        <c:manualLayout>
          <c:xMode val="edge"/>
          <c:yMode val="edge"/>
          <c:x val="0.38825"/>
          <c:y val="0.04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"/>
          <c:y val="0.0515"/>
          <c:w val="0.80775"/>
          <c:h val="0.7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rekapitulace!$J$2</c:f>
              <c:strCache>
                <c:ptCount val="1"/>
                <c:pt idx="0">
                  <c:v>dotace (s+i)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rekapitulace!$B$3:$B$31</c:f>
              <c:numCache/>
            </c:numRef>
          </c:cat>
          <c:val>
            <c:numRef>
              <c:f>rekapitulace!$I$3:$I$31</c:f>
              <c:numCache/>
            </c:numRef>
          </c:val>
        </c:ser>
        <c:ser>
          <c:idx val="1"/>
          <c:order val="1"/>
          <c:tx>
            <c:strRef>
              <c:f>rekapitulace!$K$2</c:f>
              <c:strCache>
                <c:ptCount val="1"/>
                <c:pt idx="0">
                  <c:v>výdaje města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rekapitulace!$B$3:$B$31</c:f>
              <c:numCache/>
            </c:numRef>
          </c:cat>
          <c:val>
            <c:numRef>
              <c:f>rekapitulace!$K$3:$K$31</c:f>
              <c:numCache/>
            </c:numRef>
          </c:val>
        </c:ser>
        <c:overlap val="100"/>
        <c:gapWidth val="100"/>
        <c:axId val="18737049"/>
        <c:axId val="34415714"/>
      </c:barChart>
      <c:lineChart>
        <c:grouping val="stacked"/>
        <c:varyColors val="0"/>
        <c:ser>
          <c:idx val="2"/>
          <c:order val="2"/>
          <c:tx>
            <c:strRef>
              <c:f>rekapitulace!$L$2</c:f>
              <c:strCache>
                <c:ptCount val="1"/>
                <c:pt idx="0">
                  <c:v>km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rekapitulace!$B$3:$B$31</c:f>
              <c:numCache/>
            </c:numRef>
          </c:cat>
          <c:val>
            <c:numRef>
              <c:f>rekapitulace!$L$3:$L$31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41305971"/>
        <c:axId val="36209420"/>
      </c:line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</c:scaling>
        <c:axPos val="l"/>
        <c:delete val="0"/>
        <c:numFmt formatCode="#,##0\ [$Kč-405];[RED]\-#,##0\ [$Kč-405]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049"/>
        <c:crossesAt val="1"/>
        <c:crossBetween val="between"/>
        <c:dispUnits/>
      </c:valAx>
      <c:catAx>
        <c:axId val="41305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>
            <a:solidFill>
              <a:srgbClr val="B3B3B3"/>
            </a:solidFill>
          </a:ln>
        </c:spPr>
        <c:crossAx val="36209420"/>
        <c:crosses val="autoZero"/>
        <c:auto val="1"/>
        <c:lblOffset val="100"/>
        <c:noMultiLvlLbl val="0"/>
      </c:catAx>
      <c:valAx>
        <c:axId val="36209420"/>
        <c:scaling>
          <c:orientation val="minMax"/>
        </c:scaling>
        <c:axPos val="l"/>
        <c:delete val="0"/>
        <c:numFmt formatCode="0.0&quot; km&quot;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5971"/>
        <c:crosses val="max"/>
        <c:crossBetween val="between"/>
        <c:dispUnits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5"/>
          <c:y val="0.248"/>
          <c:w val="0.289"/>
          <c:h val="0.08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10" b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Druhy investic do cyklo-infrastruktury
ceny valorizovány na rok 2017</a:t>
            </a:r>
          </a:p>
        </c:rich>
      </c:tx>
      <c:layout>
        <c:manualLayout>
          <c:xMode val="edge"/>
          <c:yMode val="edge"/>
          <c:x val="0.3895"/>
          <c:y val="0.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4"/>
          <c:y val="0.06175"/>
          <c:w val="0.814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rekapitulace!$C$2</c:f>
              <c:strCache>
                <c:ptCount val="1"/>
                <c:pt idx="0">
                  <c:v>[1]sdružená investice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rekapitulace!$B$3:$B$31</c:f>
              <c:numCache/>
            </c:numRef>
          </c:cat>
          <c:val>
            <c:numRef>
              <c:f>rekapitulace!$C$3:$C$31</c:f>
              <c:numCache/>
            </c:numRef>
          </c:val>
        </c:ser>
        <c:ser>
          <c:idx val="1"/>
          <c:order val="1"/>
          <c:tx>
            <c:strRef>
              <c:f>rekapitulace!$D$2</c:f>
              <c:strCache>
                <c:ptCount val="1"/>
                <c:pt idx="0">
                  <c:v>[2]účelová stavba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rekapitulace!$B$3:$B$31</c:f>
              <c:numCache/>
            </c:numRef>
          </c:cat>
          <c:val>
            <c:numRef>
              <c:f>rekapitulace!$D$3:$D$31</c:f>
              <c:numCache/>
            </c:numRef>
          </c:val>
        </c:ser>
        <c:ser>
          <c:idx val="2"/>
          <c:order val="2"/>
          <c:tx>
            <c:strRef>
              <c:f>rekapitulace!$E$2</c:f>
              <c:strCache>
                <c:ptCount val="1"/>
                <c:pt idx="0">
                  <c:v>[3]organizační opatření</c:v>
                </c:pt>
              </c:strCache>
            </c:strRef>
          </c:tx>
          <c:spPr>
            <a:solidFill>
              <a:srgbClr val="6633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rekapitulace!$B$3:$B$31</c:f>
              <c:numCache/>
            </c:numRef>
          </c:cat>
          <c:val>
            <c:numRef>
              <c:f>rekapitulace!$E$3:$E$31</c:f>
              <c:numCache/>
            </c:numRef>
          </c:val>
        </c:ser>
        <c:ser>
          <c:idx val="3"/>
          <c:order val="3"/>
          <c:tx>
            <c:strRef>
              <c:f>rekapitulace!$F$2</c:f>
              <c:strCache>
                <c:ptCount val="1"/>
                <c:pt idx="0">
                  <c:v>[4]organizační opatření při plošných opravách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rekapitulace!$B$3:$B$31</c:f>
              <c:numCache/>
            </c:numRef>
          </c:cat>
          <c:val>
            <c:numRef>
              <c:f>rekapitulace!$F$3:$F$31</c:f>
              <c:numCache/>
            </c:numRef>
          </c:val>
        </c:ser>
        <c:overlap val="100"/>
        <c:gapWidth val="100"/>
        <c:axId val="57449325"/>
        <c:axId val="47281878"/>
      </c:bar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1878"/>
        <c:crosses val="autoZero"/>
        <c:auto val="1"/>
        <c:lblOffset val="100"/>
        <c:noMultiLvlLbl val="0"/>
      </c:catAx>
      <c:valAx>
        <c:axId val="47281878"/>
        <c:scaling>
          <c:orientation val="minMax"/>
        </c:scaling>
        <c:axPos val="l"/>
        <c:delete val="0"/>
        <c:numFmt formatCode="#,##0\ [$Kč-405];[RED]\-#,##0\ [$Kč-405]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9325"/>
        <c:crossesAt val="1"/>
        <c:crossBetween val="between"/>
        <c:dispUnits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09"/>
          <c:w val="0.1815"/>
          <c:h val="0.25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75" b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Náklady a délka sítě cyklo-infrastruktury na území města Brna
ceny valorizovány na rok 2018</a:t>
            </a:r>
          </a:p>
        </c:rich>
      </c:tx>
      <c:layout>
        <c:manualLayout>
          <c:xMode val="edge"/>
          <c:yMode val="edge"/>
          <c:x val="0.24575"/>
          <c:y val="0.06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25"/>
          <c:y val="0.0655"/>
          <c:w val="0.819"/>
          <c:h val="0.7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rekapitulace!$M$2:$M$3</c:f>
              <c:strCache>
                <c:ptCount val="1"/>
                <c:pt idx="0">
                  <c:v>dopravní 0 Kč</c:v>
                </c:pt>
              </c:strCache>
            </c:strRef>
          </c:tx>
          <c:spPr>
            <a:solidFill>
              <a:srgbClr val="31400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rekapitulace!$B$4:$B$31</c:f>
              <c:numCache/>
            </c:numRef>
          </c:cat>
          <c:val>
            <c:numRef>
              <c:f>rekapitulace!$M$4:$M$31</c:f>
              <c:numCache/>
            </c:numRef>
          </c:val>
        </c:ser>
        <c:ser>
          <c:idx val="1"/>
          <c:order val="1"/>
          <c:tx>
            <c:strRef>
              <c:f>rekapitulace!$N$2:$N$3</c:f>
              <c:strCache>
                <c:ptCount val="1"/>
                <c:pt idx="0">
                  <c:v>rekreační 0 Kč</c:v>
                </c:pt>
              </c:strCache>
            </c:strRef>
          </c:tx>
          <c:spPr>
            <a:solidFill>
              <a:srgbClr val="83CA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rekapitulace!$B$4:$B$31</c:f>
              <c:numCache/>
            </c:numRef>
          </c:cat>
          <c:val>
            <c:numRef>
              <c:f>rekapitulace!$N$4:$N$31</c:f>
              <c:numCache/>
            </c:numRef>
          </c:val>
        </c:ser>
        <c:overlap val="100"/>
        <c:gapWidth val="100"/>
        <c:axId val="22883719"/>
        <c:axId val="4626880"/>
      </c:barChart>
      <c:lineChart>
        <c:grouping val="stacked"/>
        <c:varyColors val="0"/>
        <c:ser>
          <c:idx val="2"/>
          <c:order val="2"/>
          <c:tx>
            <c:strRef>
              <c:f>rekapitulace!$O$2:$O$3</c:f>
              <c:strCache>
                <c:ptCount val="1"/>
                <c:pt idx="0">
                  <c:v>dopravní 0.0 km</c:v>
                </c:pt>
              </c:strCache>
            </c:strRef>
          </c:tx>
          <c:spPr>
            <a:ln w="25200">
              <a:solidFill>
                <a:srgbClr val="31400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rekapitulace!$B$4:$B$31</c:f>
              <c:numCache/>
            </c:numRef>
          </c:cat>
          <c:val>
            <c:numRef>
              <c:f>rekapitulace!$O$4:$O$31</c:f>
              <c:numCache/>
            </c:numRef>
          </c:val>
          <c:smooth val="0"/>
        </c:ser>
        <c:ser>
          <c:idx val="3"/>
          <c:order val="3"/>
          <c:tx>
            <c:strRef>
              <c:f>rekapitulace!$P$2:$P$3</c:f>
              <c:strCache>
                <c:ptCount val="1"/>
                <c:pt idx="0">
                  <c:v>rekreační 0.0 km</c:v>
                </c:pt>
              </c:strCache>
            </c:strRef>
          </c:tx>
          <c:spPr>
            <a:ln w="25200">
              <a:solidFill>
                <a:srgbClr val="83CAFF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rekapitulace!$B$4:$B$31</c:f>
              <c:numCache/>
            </c:numRef>
          </c:cat>
          <c:val>
            <c:numRef>
              <c:f>rekapitulace!$P$4:$P$31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41641921"/>
        <c:axId val="3923297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delete val="0"/>
        <c:numFmt formatCode="#,##0\ [$Kč-405];[RED]\-#,##0\ [$Kč-405]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3719"/>
        <c:crossesAt val="1"/>
        <c:crossBetween val="between"/>
        <c:dispUnits/>
      </c:valAx>
      <c:catAx>
        <c:axId val="41641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>
            <a:solidFill>
              <a:srgbClr val="B3B3B3"/>
            </a:solidFill>
          </a:ln>
        </c:spPr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l"/>
        <c:delete val="0"/>
        <c:numFmt formatCode="0&quot; km&quot;" sourceLinked="0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1921"/>
        <c:crosses val="max"/>
        <c:crossBetween val="between"/>
        <c:dispUnits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2925"/>
          <c:y val="0.1735"/>
          <c:w val="0.1715"/>
          <c:h val="0.3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75" b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druhů cyklo výdajů 1990-2015</a:t>
            </a:r>
          </a:p>
        </c:rich>
      </c:tx>
      <c:layout>
        <c:manualLayout>
          <c:xMode val="edge"/>
          <c:yMode val="edge"/>
          <c:x val="0.068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9"/>
          <c:y val="0.157"/>
          <c:w val="0.63075"/>
          <c:h val="0.73125"/>
        </c:manualLayout>
      </c:layout>
      <c:pieChart>
        <c:varyColors val="1"/>
        <c:ser>
          <c:idx val="0"/>
          <c:order val="0"/>
          <c:tx>
            <c:strRef>
              <c:f>(rekapitulace!$C$1:$C$2,rekapitulace!$D$1:$D$2,rekapitulace!$E$1:$E$2)</c:f>
              <c:strCache>
                <c:ptCount val="1"/>
                <c:pt idx="0">
                  <c:v>[1]sdružená investice [2]účelová stavba [3]organizační opatření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rekapitulace!$C$2:$E$2</c:f>
              <c:strCache/>
            </c:strRef>
          </c:cat>
          <c:val>
            <c:numRef>
              <c:f>rekapitulace!$C$32:$E$32</c:f>
              <c:numCache/>
            </c:numRef>
          </c:val>
        </c:ser>
      </c:pieChart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"/>
          <c:y val="0.831"/>
          <c:w val="0.4415"/>
          <c:h val="0.16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75" b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dotací na cyklo výdajích 1990-2017</a:t>
            </a:r>
          </a:p>
        </c:rich>
      </c:tx>
      <c:layout>
        <c:manualLayout>
          <c:xMode val="edge"/>
          <c:yMode val="edge"/>
          <c:x val="0.07975"/>
          <c:y val="0.03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25"/>
          <c:y val="0.14775"/>
          <c:w val="0.5445"/>
          <c:h val="0.825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/>
              </a:solidFill>
              <a:ln>
                <a:noFill/>
              </a:ln>
            </c:spPr>
          </c:dPt>
          <c:dPt>
            <c:idx val="1"/>
            <c:spPr>
              <a:solidFill>
                <a:srgbClr val="7E0021"/>
              </a:solidFill>
              <a:ln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rekapitulace!$J$2:$K$2</c:f>
              <c:strCache/>
            </c:strRef>
          </c:cat>
          <c:val>
            <c:numRef>
              <c:f>rekapitulace!$J$32:$K$32</c:f>
              <c:numCache/>
            </c:numRef>
          </c:val>
        </c:ser>
      </c:pieChart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1975"/>
          <c:y val="0.14775"/>
          <c:w val="0.24225"/>
          <c:h val="0.1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75" b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výdajů na rekreační a dopravní 
infrastrukturu 1990-2017</a:t>
            </a:r>
          </a:p>
        </c:rich>
      </c:tx>
      <c:layout>
        <c:manualLayout>
          <c:xMode val="edge"/>
          <c:yMode val="edge"/>
          <c:x val="0.0635"/>
          <c:y val="0.02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1"/>
          <c:y val="0.22025"/>
          <c:w val="0.703"/>
          <c:h val="0.755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14004"/>
              </a:solidFill>
              <a:ln>
                <a:noFill/>
              </a:ln>
            </c:spPr>
          </c:dPt>
          <c:dPt>
            <c:idx val="1"/>
            <c:spPr>
              <a:solidFill>
                <a:srgbClr val="83CAFF"/>
              </a:solidFill>
              <a:ln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rekapitulace!$M$2:$N$2</c:f>
              <c:strCache/>
            </c:strRef>
          </c:cat>
          <c:val>
            <c:numRef>
              <c:f>rekapitulace!$M$32:$N$32</c:f>
              <c:numCache/>
            </c:numRef>
          </c:val>
        </c:ser>
      </c:pieChart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61"/>
          <c:y val="0.6085"/>
          <c:w val="0.24875"/>
          <c:h val="0.17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75" b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Účelové investice do cyklo-infrastruktury na území města Brna
ceny valorizovány na rok 2015</a:t>
            </a:r>
          </a:p>
        </c:rich>
      </c:tx>
      <c:layout>
        <c:manualLayout>
          <c:xMode val="edge"/>
          <c:yMode val="edge"/>
          <c:x val="0.2465"/>
          <c:y val="0.06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25"/>
          <c:y val="0.0655"/>
          <c:w val="0.819"/>
          <c:h val="0.7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rekapitulace!$R$2:$R$3</c:f>
              <c:strCache>
                <c:ptCount val="1"/>
                <c:pt idx="0">
                  <c:v>dopravní 0 Kč</c:v>
                </c:pt>
              </c:strCache>
            </c:strRef>
          </c:tx>
          <c:spPr>
            <a:solidFill>
              <a:srgbClr val="FF950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rekapitulace!$B$4:$B$31</c:f>
              <c:numCache/>
            </c:numRef>
          </c:cat>
          <c:val>
            <c:numRef>
              <c:f>rekapitulace!$R$4:$R$31</c:f>
              <c:numCache/>
            </c:numRef>
          </c:val>
        </c:ser>
        <c:ser>
          <c:idx val="1"/>
          <c:order val="1"/>
          <c:tx>
            <c:strRef>
              <c:f>rekapitulace!$S$2:$S$3</c:f>
              <c:strCache>
                <c:ptCount val="1"/>
                <c:pt idx="0">
                  <c:v>rekreační 0 Kč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rekapitulace!$B$4:$B$31</c:f>
              <c:numCache/>
            </c:numRef>
          </c:cat>
          <c:val>
            <c:numRef>
              <c:f>rekapitulace!$S$4:$S$31</c:f>
              <c:numCache/>
            </c:numRef>
          </c:val>
        </c:ser>
        <c:overlap val="100"/>
        <c:gapWidth val="100"/>
        <c:axId val="17552411"/>
        <c:axId val="23753972"/>
      </c:bar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53972"/>
        <c:crosses val="autoZero"/>
        <c:auto val="1"/>
        <c:lblOffset val="100"/>
        <c:noMultiLvlLbl val="0"/>
      </c:catAx>
      <c:valAx>
        <c:axId val="23753972"/>
        <c:scaling>
          <c:orientation val="minMax"/>
        </c:scaling>
        <c:axPos val="l"/>
        <c:delete val="0"/>
        <c:numFmt formatCode="#,##0\ [$Kč-405];[RED]\-#,##0\ [$Kč-405]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411"/>
        <c:crossesAt val="1"/>
        <c:crossBetween val="between"/>
        <c:dispUnits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255"/>
          <c:w val="0.114"/>
          <c:h val="0.2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výdajů SMB valorizované rozpočty 2000-2012</a:t>
            </a:r>
          </a:p>
        </c:rich>
      </c:tx>
      <c:layout>
        <c:manualLayout>
          <c:xMode val="edge"/>
          <c:yMode val="edge"/>
          <c:x val="0.20925"/>
          <c:y val="0.12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3"/>
          <c:y val="0.51575"/>
          <c:w val="0.1345"/>
          <c:h val="0.220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spPr>
              <a:solidFill>
                <a:srgbClr val="FF420E"/>
              </a:solidFill>
              <a:ln>
                <a:noFill/>
              </a:ln>
            </c:spPr>
          </c:dPt>
          <c:dPt>
            <c:idx val="2"/>
            <c:spPr>
              <a:solidFill>
                <a:srgbClr val="FFD320"/>
              </a:solidFill>
              <a:ln>
                <a:noFill/>
              </a:ln>
            </c:spPr>
          </c:dPt>
          <c:dPt>
            <c:idx val="3"/>
            <c:spPr>
              <a:solidFill>
                <a:srgbClr val="579D1C"/>
              </a:solidFill>
              <a:ln>
                <a:noFill/>
              </a:ln>
            </c:spPr>
          </c:dPt>
          <c:dLbls>
            <c:numFmt formatCode="General" sourceLinked="1"/>
            <c:dLblPos val="bestFit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pomocne_tabulky!$F$48:$I$48</c:f>
              <c:strCache/>
            </c:strRef>
          </c:cat>
          <c:val>
            <c:numRef>
              <c:f>pomocne_tabulky!$F$74:$I$74</c:f>
              <c:numCache/>
            </c:numRef>
          </c:val>
        </c:ser>
      </c:pieChart>
      <c:spPr>
        <a:noFill/>
        <a:ln>
          <a:solidFill>
            <a:srgbClr val="B3B3B3"/>
          </a:solidFill>
        </a:ln>
      </c:spPr>
    </c:plotArea>
    <c:plotVisOnly val="1"/>
    <c:dispBlanksAs val="zero"/>
    <c:showDLblsOverMax val="0"/>
  </c:chart>
  <c:spPr>
    <a:solidFill>
      <a:srgbClr val="FFFFFF"/>
    </a:solidFill>
    <a:ln>
      <a:noFill/>
    </a:ln>
  </c:spPr>
  <c:lang xmlns:c="http://schemas.openxmlformats.org/drawingml/2006/chart" val="en-US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32</xdr:row>
      <xdr:rowOff>19050</xdr:rowOff>
    </xdr:from>
    <xdr:ext cx="8820150" cy="3124200"/>
    <xdr:graphicFrame>
      <xdr:nvGraphicFramePr>
        <xdr:cNvPr id="0" name="Chart 1"/>
        <xdr:cNvGraphicFramePr/>
      </xdr:nvGraphicFramePr>
      <xdr:xfrm>
        <a:off x="38100" y="6257925"/>
        <a:ext cx="88201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85725</xdr:colOff>
      <xdr:row>50</xdr:row>
      <xdr:rowOff>66675</xdr:rowOff>
    </xdr:from>
    <xdr:ext cx="8753475" cy="2390775"/>
    <xdr:graphicFrame>
      <xdr:nvGraphicFramePr>
        <xdr:cNvPr id="1" name="Chart 2"/>
        <xdr:cNvGraphicFramePr/>
      </xdr:nvGraphicFramePr>
      <xdr:xfrm>
        <a:off x="85725" y="9220200"/>
        <a:ext cx="87534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171450</xdr:colOff>
      <xdr:row>65</xdr:row>
      <xdr:rowOff>114300</xdr:rowOff>
    </xdr:from>
    <xdr:ext cx="8686800" cy="2819400"/>
    <xdr:graphicFrame>
      <xdr:nvGraphicFramePr>
        <xdr:cNvPr id="2" name="Chart 3"/>
        <xdr:cNvGraphicFramePr/>
      </xdr:nvGraphicFramePr>
      <xdr:xfrm>
        <a:off x="171450" y="11696700"/>
        <a:ext cx="86868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10</xdr:col>
      <xdr:colOff>19050</xdr:colOff>
      <xdr:row>51</xdr:row>
      <xdr:rowOff>28575</xdr:rowOff>
    </xdr:from>
    <xdr:ext cx="2733675" cy="3048000"/>
    <xdr:graphicFrame>
      <xdr:nvGraphicFramePr>
        <xdr:cNvPr id="3" name="Chart 4"/>
        <xdr:cNvGraphicFramePr/>
      </xdr:nvGraphicFramePr>
      <xdr:xfrm>
        <a:off x="8905875" y="9344025"/>
        <a:ext cx="27336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10</xdr:col>
      <xdr:colOff>28575</xdr:colOff>
      <xdr:row>32</xdr:row>
      <xdr:rowOff>161925</xdr:rowOff>
    </xdr:from>
    <xdr:ext cx="3133725" cy="2981325"/>
    <xdr:graphicFrame>
      <xdr:nvGraphicFramePr>
        <xdr:cNvPr id="4" name="Chart 5"/>
        <xdr:cNvGraphicFramePr/>
      </xdr:nvGraphicFramePr>
      <xdr:xfrm>
        <a:off x="8915400" y="6400800"/>
        <a:ext cx="313372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9</xdr:col>
      <xdr:colOff>981075</xdr:colOff>
      <xdr:row>69</xdr:row>
      <xdr:rowOff>142875</xdr:rowOff>
    </xdr:from>
    <xdr:ext cx="2771775" cy="3314700"/>
    <xdr:graphicFrame>
      <xdr:nvGraphicFramePr>
        <xdr:cNvPr id="5" name="Chart 6"/>
        <xdr:cNvGraphicFramePr/>
      </xdr:nvGraphicFramePr>
      <xdr:xfrm>
        <a:off x="8886825" y="12372975"/>
        <a:ext cx="2771775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190500</xdr:colOff>
      <xdr:row>82</xdr:row>
      <xdr:rowOff>152400</xdr:rowOff>
    </xdr:from>
    <xdr:ext cx="8658225" cy="2809875"/>
    <xdr:graphicFrame>
      <xdr:nvGraphicFramePr>
        <xdr:cNvPr id="6" name="Chart 3"/>
        <xdr:cNvGraphicFramePr/>
      </xdr:nvGraphicFramePr>
      <xdr:xfrm>
        <a:off x="190500" y="14487525"/>
        <a:ext cx="8658225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75</xdr:row>
      <xdr:rowOff>9525</xdr:rowOff>
    </xdr:from>
    <xdr:ext cx="5153025" cy="3057525"/>
    <xdr:graphicFrame>
      <xdr:nvGraphicFramePr>
        <xdr:cNvPr id="7" name="Chart 1"/>
        <xdr:cNvGraphicFramePr/>
      </xdr:nvGraphicFramePr>
      <xdr:xfrm>
        <a:off x="457200" y="14830425"/>
        <a:ext cx="51530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noviden.cz/O-nas/Dostavba-bezpecnych-useku.asp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1">
      <pane ySplit="1" topLeftCell="A80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3.8515625" style="1" customWidth="1"/>
    <col min="2" max="2" width="7.57421875" style="0" customWidth="1"/>
    <col min="3" max="3" width="12.28125" style="0" customWidth="1"/>
    <col min="4" max="4" width="11.28125" style="0" customWidth="1"/>
    <col min="5" max="5" width="20.140625" style="0" customWidth="1"/>
    <col min="6" max="6" width="6.421875" style="0" customWidth="1"/>
    <col min="7" max="8" width="14.28125" style="0" customWidth="1"/>
    <col min="9" max="9" width="11.140625" style="0" customWidth="1"/>
    <col min="10" max="10" width="18.421875" style="0" customWidth="1"/>
    <col min="11" max="11" width="17.28125" style="0" customWidth="1"/>
    <col min="12" max="12" width="15.140625" style="0" customWidth="1"/>
    <col min="13" max="13" width="10.8515625" style="0" customWidth="1"/>
    <col min="14" max="14" width="20.57421875" style="0" customWidth="1"/>
    <col min="15" max="15" width="13.00390625" style="0" customWidth="1"/>
    <col min="16" max="17" width="12.8515625" style="0" customWidth="1"/>
    <col min="18" max="18" width="9.57421875" style="0" customWidth="1"/>
    <col min="19" max="19" width="14.8515625" style="0" customWidth="1"/>
    <col min="20" max="20" width="51.57421875" style="2" customWidth="1"/>
    <col min="21" max="21" width="11.8515625" style="0" customWidth="1"/>
    <col min="22" max="1025" width="9.00390625" style="0" customWidth="1"/>
  </cols>
  <sheetData>
    <row r="1" spans="1:21" ht="51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5" t="s">
        <v>19</v>
      </c>
      <c r="U1" s="5" t="s">
        <v>20</v>
      </c>
    </row>
    <row r="2" spans="1:21" ht="47.75" customHeight="1">
      <c r="A2" s="6">
        <v>200</v>
      </c>
      <c r="B2" s="7">
        <v>2018</v>
      </c>
      <c r="C2" s="8" t="s">
        <v>21</v>
      </c>
      <c r="D2" s="9" t="s">
        <v>22</v>
      </c>
      <c r="E2" s="9" t="s">
        <v>23</v>
      </c>
      <c r="F2" s="10">
        <v>0.7</v>
      </c>
      <c r="G2" s="11">
        <v>462392</v>
      </c>
      <c r="H2" s="11"/>
      <c r="I2" s="11"/>
      <c r="J2" s="9"/>
      <c r="K2" s="9"/>
      <c r="L2" s="8" t="s">
        <v>24</v>
      </c>
      <c r="M2" s="8" t="s">
        <v>25</v>
      </c>
      <c r="N2" s="12"/>
      <c r="O2" s="13"/>
      <c r="P2" s="13"/>
      <c r="Q2" s="13"/>
      <c r="R2" s="14"/>
      <c r="S2" s="14"/>
      <c r="T2" s="12"/>
      <c r="U2" s="15">
        <v>43297</v>
      </c>
    </row>
    <row r="3" spans="1:21" ht="47.75" customHeight="1">
      <c r="A3" s="6">
        <v>199</v>
      </c>
      <c r="B3" s="7">
        <v>2018</v>
      </c>
      <c r="C3" s="8" t="s">
        <v>26</v>
      </c>
      <c r="D3" s="9" t="s">
        <v>22</v>
      </c>
      <c r="E3" s="9" t="s">
        <v>27</v>
      </c>
      <c r="F3" s="10">
        <v>0.4</v>
      </c>
      <c r="G3" s="11">
        <v>295125</v>
      </c>
      <c r="H3" s="11"/>
      <c r="I3" s="11"/>
      <c r="J3" s="9"/>
      <c r="K3" s="9"/>
      <c r="L3" s="8" t="s">
        <v>24</v>
      </c>
      <c r="M3" s="8" t="s">
        <v>25</v>
      </c>
      <c r="N3" s="12"/>
      <c r="O3" s="13"/>
      <c r="P3" s="13"/>
      <c r="Q3" s="13"/>
      <c r="R3" s="14"/>
      <c r="S3" s="14"/>
      <c r="T3" s="12"/>
      <c r="U3" s="15">
        <v>43297</v>
      </c>
    </row>
    <row r="4" spans="1:21" ht="47.75" customHeight="1">
      <c r="A4" s="6">
        <v>198</v>
      </c>
      <c r="B4" s="7">
        <v>2018</v>
      </c>
      <c r="C4" s="8" t="s">
        <v>28</v>
      </c>
      <c r="D4" s="9" t="s">
        <v>22</v>
      </c>
      <c r="E4" s="9" t="s">
        <v>29</v>
      </c>
      <c r="F4" s="10">
        <v>0.9</v>
      </c>
      <c r="G4" s="11">
        <v>1690000</v>
      </c>
      <c r="H4" s="11"/>
      <c r="I4" s="11"/>
      <c r="J4" s="9"/>
      <c r="K4" s="9"/>
      <c r="L4" s="8" t="s">
        <v>30</v>
      </c>
      <c r="M4" s="8" t="s">
        <v>25</v>
      </c>
      <c r="N4" s="12"/>
      <c r="O4" s="13"/>
      <c r="P4" s="13"/>
      <c r="Q4" s="13"/>
      <c r="R4" s="14"/>
      <c r="S4" s="14"/>
      <c r="T4" s="12"/>
      <c r="U4" s="15">
        <v>43297</v>
      </c>
    </row>
    <row r="5" spans="1:21" ht="47.75" customHeight="1">
      <c r="A5" s="6">
        <v>197</v>
      </c>
      <c r="B5" s="16">
        <v>2018</v>
      </c>
      <c r="C5" s="17" t="s">
        <v>31</v>
      </c>
      <c r="D5" s="17" t="s">
        <v>32</v>
      </c>
      <c r="E5" s="17" t="s">
        <v>33</v>
      </c>
      <c r="F5" s="18">
        <v>0.7</v>
      </c>
      <c r="G5" s="19">
        <v>30000</v>
      </c>
      <c r="H5" s="17"/>
      <c r="I5" s="20"/>
      <c r="J5" s="17"/>
      <c r="K5" s="17"/>
      <c r="L5" s="16" t="s">
        <v>34</v>
      </c>
      <c r="M5" s="17" t="s">
        <v>25</v>
      </c>
      <c r="N5" s="17" t="s">
        <v>35</v>
      </c>
      <c r="O5" s="21"/>
      <c r="P5" s="22"/>
      <c r="Q5" s="17"/>
      <c r="R5" s="23"/>
      <c r="S5" s="24"/>
      <c r="T5" s="25"/>
      <c r="U5" s="26">
        <v>43297</v>
      </c>
    </row>
    <row r="6" spans="1:21" ht="47.75" customHeight="1">
      <c r="A6" s="6">
        <v>196</v>
      </c>
      <c r="B6" s="7">
        <v>2017</v>
      </c>
      <c r="C6" s="8" t="s">
        <v>26</v>
      </c>
      <c r="D6" s="9" t="s">
        <v>22</v>
      </c>
      <c r="E6" s="9" t="s">
        <v>36</v>
      </c>
      <c r="F6" s="10">
        <v>0.5</v>
      </c>
      <c r="G6" s="27">
        <f>F6*600000</f>
        <v>300000</v>
      </c>
      <c r="H6" s="11"/>
      <c r="I6" s="11"/>
      <c r="J6" s="9"/>
      <c r="K6" s="9"/>
      <c r="L6" s="8" t="s">
        <v>37</v>
      </c>
      <c r="M6" s="8" t="s">
        <v>25</v>
      </c>
      <c r="N6" s="12"/>
      <c r="O6" s="13"/>
      <c r="P6" s="13"/>
      <c r="Q6" s="13"/>
      <c r="R6" s="14"/>
      <c r="S6" s="14"/>
      <c r="T6" s="12"/>
      <c r="U6" s="15">
        <v>43084</v>
      </c>
    </row>
    <row r="7" spans="1:21" ht="47.75" customHeight="1">
      <c r="A7" s="6">
        <v>195</v>
      </c>
      <c r="B7" s="7">
        <v>2017</v>
      </c>
      <c r="C7" s="8" t="s">
        <v>38</v>
      </c>
      <c r="D7" s="9" t="s">
        <v>22</v>
      </c>
      <c r="E7" s="9" t="s">
        <v>39</v>
      </c>
      <c r="F7" s="10">
        <v>1.8</v>
      </c>
      <c r="G7" s="11">
        <v>1850000</v>
      </c>
      <c r="H7" s="11"/>
      <c r="I7" s="11"/>
      <c r="J7" s="9" t="s">
        <v>40</v>
      </c>
      <c r="K7" s="9"/>
      <c r="L7" s="8" t="s">
        <v>37</v>
      </c>
      <c r="M7" s="8" t="s">
        <v>25</v>
      </c>
      <c r="N7" s="12"/>
      <c r="O7" s="13"/>
      <c r="P7" s="13"/>
      <c r="Q7" s="13"/>
      <c r="R7" s="14"/>
      <c r="S7" s="14"/>
      <c r="T7" s="12"/>
      <c r="U7" s="28">
        <v>43084</v>
      </c>
    </row>
    <row r="8" spans="1:21" ht="47.75" customHeight="1">
      <c r="A8" s="6">
        <v>194</v>
      </c>
      <c r="B8" s="7">
        <v>2017</v>
      </c>
      <c r="C8" s="8" t="s">
        <v>41</v>
      </c>
      <c r="D8" s="9" t="s">
        <v>22</v>
      </c>
      <c r="E8" s="9" t="s">
        <v>42</v>
      </c>
      <c r="F8" s="10">
        <v>0.5</v>
      </c>
      <c r="G8" s="11">
        <v>700000</v>
      </c>
      <c r="H8" s="11"/>
      <c r="I8" s="11"/>
      <c r="J8" s="9" t="s">
        <v>43</v>
      </c>
      <c r="K8" s="9"/>
      <c r="L8" s="8" t="s">
        <v>37</v>
      </c>
      <c r="M8" s="8" t="s">
        <v>25</v>
      </c>
      <c r="N8" s="12"/>
      <c r="O8" s="13"/>
      <c r="P8" s="13"/>
      <c r="Q8" s="13"/>
      <c r="R8" s="14"/>
      <c r="S8" s="14"/>
      <c r="T8" s="12"/>
      <c r="U8" s="28">
        <v>43084</v>
      </c>
    </row>
    <row r="9" spans="1:21" ht="47.75" customHeight="1">
      <c r="A9" s="6">
        <v>193</v>
      </c>
      <c r="B9" s="29">
        <v>2017</v>
      </c>
      <c r="C9" s="30" t="s">
        <v>41</v>
      </c>
      <c r="D9" s="30" t="s">
        <v>44</v>
      </c>
      <c r="E9" s="30" t="s">
        <v>45</v>
      </c>
      <c r="F9" s="31">
        <v>0</v>
      </c>
      <c r="G9" s="32">
        <v>500000</v>
      </c>
      <c r="H9" s="33"/>
      <c r="I9" s="33">
        <f>G9/50</f>
        <v>10000</v>
      </c>
      <c r="J9" s="30" t="s">
        <v>46</v>
      </c>
      <c r="K9" s="30"/>
      <c r="L9" s="29" t="s">
        <v>37</v>
      </c>
      <c r="M9" s="30" t="s">
        <v>25</v>
      </c>
      <c r="N9" s="30"/>
      <c r="O9" s="34"/>
      <c r="P9" s="34"/>
      <c r="Q9" s="30"/>
      <c r="R9" s="35"/>
      <c r="S9" s="36"/>
      <c r="T9" s="37"/>
      <c r="U9" s="38">
        <v>43084</v>
      </c>
    </row>
    <row r="10" spans="1:21" ht="47.75" customHeight="1">
      <c r="A10" s="6">
        <v>192</v>
      </c>
      <c r="B10" s="7">
        <v>2017</v>
      </c>
      <c r="C10" s="8" t="s">
        <v>47</v>
      </c>
      <c r="D10" s="9" t="s">
        <v>22</v>
      </c>
      <c r="E10" s="9" t="s">
        <v>48</v>
      </c>
      <c r="F10" s="10">
        <v>0.7</v>
      </c>
      <c r="G10" s="27">
        <v>50000</v>
      </c>
      <c r="H10" s="11"/>
      <c r="I10" s="11"/>
      <c r="J10" s="9" t="s">
        <v>49</v>
      </c>
      <c r="K10" s="9"/>
      <c r="L10" s="8" t="s">
        <v>30</v>
      </c>
      <c r="M10" s="8" t="s">
        <v>25</v>
      </c>
      <c r="N10" s="12"/>
      <c r="O10" s="13"/>
      <c r="P10" s="13"/>
      <c r="Q10" s="13"/>
      <c r="R10" s="14"/>
      <c r="S10" s="14"/>
      <c r="T10" s="12"/>
      <c r="U10" s="28">
        <v>42898</v>
      </c>
    </row>
    <row r="11" spans="1:21" ht="47.75" customHeight="1">
      <c r="A11" s="6">
        <v>191</v>
      </c>
      <c r="B11" s="29">
        <v>2017</v>
      </c>
      <c r="C11" s="30" t="s">
        <v>50</v>
      </c>
      <c r="D11" s="30" t="s">
        <v>44</v>
      </c>
      <c r="E11" s="30" t="s">
        <v>51</v>
      </c>
      <c r="F11" s="31">
        <v>0.5</v>
      </c>
      <c r="G11" s="32">
        <v>1480000</v>
      </c>
      <c r="H11" s="33"/>
      <c r="I11" s="33"/>
      <c r="J11" s="30" t="s">
        <v>52</v>
      </c>
      <c r="K11" s="30"/>
      <c r="L11" s="29" t="s">
        <v>53</v>
      </c>
      <c r="M11" s="30" t="s">
        <v>54</v>
      </c>
      <c r="N11" s="30"/>
      <c r="O11" s="34"/>
      <c r="P11" s="34"/>
      <c r="Q11" s="30"/>
      <c r="R11" s="35"/>
      <c r="S11" s="36"/>
      <c r="T11" s="37"/>
      <c r="U11" s="38">
        <v>42898</v>
      </c>
    </row>
    <row r="12" spans="1:21" ht="47.75" customHeight="1">
      <c r="A12" s="6">
        <v>190</v>
      </c>
      <c r="B12" s="7">
        <v>2017</v>
      </c>
      <c r="C12" s="8" t="s">
        <v>55</v>
      </c>
      <c r="D12" s="9" t="s">
        <v>22</v>
      </c>
      <c r="E12" s="9" t="s">
        <v>56</v>
      </c>
      <c r="F12" s="10">
        <v>0.9</v>
      </c>
      <c r="G12" s="11">
        <f>160000+180000</f>
        <v>340000</v>
      </c>
      <c r="H12" s="11"/>
      <c r="I12" s="11"/>
      <c r="J12" s="9" t="s">
        <v>57</v>
      </c>
      <c r="K12" s="9"/>
      <c r="L12" s="8" t="s">
        <v>58</v>
      </c>
      <c r="M12" s="8" t="s">
        <v>25</v>
      </c>
      <c r="N12" s="12"/>
      <c r="O12" s="13"/>
      <c r="P12" s="13"/>
      <c r="Q12" s="13"/>
      <c r="R12" s="14"/>
      <c r="S12" s="14"/>
      <c r="T12" s="12"/>
      <c r="U12" s="28">
        <v>42898</v>
      </c>
    </row>
    <row r="13" spans="1:21" ht="47.75" customHeight="1">
      <c r="A13" s="6">
        <v>189</v>
      </c>
      <c r="B13" s="16">
        <v>2017</v>
      </c>
      <c r="C13" s="17" t="s">
        <v>55</v>
      </c>
      <c r="D13" s="17" t="s">
        <v>32</v>
      </c>
      <c r="E13" s="17" t="s">
        <v>56</v>
      </c>
      <c r="F13" s="18">
        <v>0.5</v>
      </c>
      <c r="G13" s="19">
        <v>30000</v>
      </c>
      <c r="H13" s="17"/>
      <c r="I13" s="20"/>
      <c r="J13" s="17" t="s">
        <v>59</v>
      </c>
      <c r="K13" s="17"/>
      <c r="L13" s="16" t="s">
        <v>60</v>
      </c>
      <c r="M13" s="17" t="s">
        <v>25</v>
      </c>
      <c r="N13" s="17"/>
      <c r="O13" s="21"/>
      <c r="P13" s="22"/>
      <c r="Q13" s="17"/>
      <c r="R13" s="23"/>
      <c r="S13" s="24"/>
      <c r="T13" s="25"/>
      <c r="U13" s="39">
        <v>42898</v>
      </c>
    </row>
    <row r="14" spans="1:21" ht="47.75" customHeight="1">
      <c r="A14" s="6">
        <v>188</v>
      </c>
      <c r="B14" s="29">
        <v>2016</v>
      </c>
      <c r="C14" s="30" t="s">
        <v>61</v>
      </c>
      <c r="D14" s="30" t="s">
        <v>62</v>
      </c>
      <c r="E14" s="30" t="s">
        <v>63</v>
      </c>
      <c r="F14" s="31">
        <v>0.02</v>
      </c>
      <c r="G14" s="32">
        <v>5825698</v>
      </c>
      <c r="H14" s="33" t="s">
        <v>64</v>
      </c>
      <c r="I14" s="33"/>
      <c r="J14" s="30" t="s">
        <v>65</v>
      </c>
      <c r="K14" s="30"/>
      <c r="L14" s="29" t="s">
        <v>66</v>
      </c>
      <c r="M14" s="30" t="s">
        <v>67</v>
      </c>
      <c r="N14" s="30"/>
      <c r="O14" s="34"/>
      <c r="P14" s="34"/>
      <c r="Q14" s="30"/>
      <c r="R14" s="35"/>
      <c r="S14" s="36"/>
      <c r="T14" s="37" t="s">
        <v>68</v>
      </c>
      <c r="U14" s="38">
        <v>42715</v>
      </c>
    </row>
    <row r="15" spans="1:21" ht="25.5" customHeight="1">
      <c r="A15" s="6">
        <v>187</v>
      </c>
      <c r="B15" s="29">
        <v>2016</v>
      </c>
      <c r="C15" s="30" t="s">
        <v>41</v>
      </c>
      <c r="D15" s="30" t="s">
        <v>44</v>
      </c>
      <c r="E15" s="30" t="s">
        <v>69</v>
      </c>
      <c r="F15" s="31">
        <v>0</v>
      </c>
      <c r="G15" s="32">
        <v>190000</v>
      </c>
      <c r="H15" s="33"/>
      <c r="I15" s="33">
        <f>G15/19</f>
        <v>10000</v>
      </c>
      <c r="J15" s="30" t="s">
        <v>70</v>
      </c>
      <c r="K15" s="30"/>
      <c r="L15" s="29" t="s">
        <v>71</v>
      </c>
      <c r="M15" s="30" t="s">
        <v>25</v>
      </c>
      <c r="N15" s="30"/>
      <c r="O15" s="34"/>
      <c r="P15" s="34"/>
      <c r="Q15" s="30"/>
      <c r="R15" s="35"/>
      <c r="S15" s="36"/>
      <c r="T15" s="37"/>
      <c r="U15" s="38">
        <v>42711</v>
      </c>
    </row>
    <row r="16" spans="1:21" ht="25.5" customHeight="1">
      <c r="A16" s="6">
        <v>186</v>
      </c>
      <c r="B16" s="7">
        <v>2016</v>
      </c>
      <c r="C16" s="8" t="s">
        <v>72</v>
      </c>
      <c r="D16" s="9" t="s">
        <v>22</v>
      </c>
      <c r="E16" s="9" t="s">
        <v>73</v>
      </c>
      <c r="F16" s="10">
        <v>0.3</v>
      </c>
      <c r="G16" s="11">
        <v>70000</v>
      </c>
      <c r="H16" s="11"/>
      <c r="I16" s="11"/>
      <c r="J16" s="9" t="s">
        <v>74</v>
      </c>
      <c r="K16" s="9"/>
      <c r="L16" s="8" t="s">
        <v>75</v>
      </c>
      <c r="M16" s="8" t="s">
        <v>25</v>
      </c>
      <c r="N16" s="12"/>
      <c r="O16" s="13"/>
      <c r="P16" s="13"/>
      <c r="Q16" s="13"/>
      <c r="R16" s="14"/>
      <c r="S16" s="14"/>
      <c r="T16" s="12"/>
      <c r="U16" s="28">
        <v>42615</v>
      </c>
    </row>
    <row r="17" spans="1:21" ht="25.35" customHeight="1">
      <c r="A17" s="6">
        <v>185</v>
      </c>
      <c r="B17" s="7">
        <v>2016</v>
      </c>
      <c r="C17" s="8" t="s">
        <v>76</v>
      </c>
      <c r="D17" s="9" t="s">
        <v>22</v>
      </c>
      <c r="E17" s="9" t="s">
        <v>73</v>
      </c>
      <c r="F17" s="10">
        <v>0.2</v>
      </c>
      <c r="G17" s="27">
        <v>10000</v>
      </c>
      <c r="H17" s="11"/>
      <c r="I17" s="11"/>
      <c r="J17" s="9" t="s">
        <v>77</v>
      </c>
      <c r="K17" s="9"/>
      <c r="L17" s="8" t="s">
        <v>78</v>
      </c>
      <c r="M17" s="8" t="s">
        <v>25</v>
      </c>
      <c r="N17" s="12"/>
      <c r="O17" s="13"/>
      <c r="P17" s="13"/>
      <c r="Q17" s="13"/>
      <c r="R17" s="14"/>
      <c r="S17" s="14"/>
      <c r="T17" s="12"/>
      <c r="U17" s="28">
        <v>42615</v>
      </c>
    </row>
    <row r="18" spans="1:21" ht="36.55" customHeight="1">
      <c r="A18" s="6">
        <v>184</v>
      </c>
      <c r="B18" s="7">
        <v>2015</v>
      </c>
      <c r="C18" s="8" t="s">
        <v>41</v>
      </c>
      <c r="D18" s="9" t="s">
        <v>22</v>
      </c>
      <c r="E18" s="9" t="s">
        <v>79</v>
      </c>
      <c r="F18" s="10">
        <v>2.8</v>
      </c>
      <c r="G18" s="27">
        <v>30000</v>
      </c>
      <c r="H18" s="11" t="s">
        <v>80</v>
      </c>
      <c r="I18" s="11"/>
      <c r="J18" s="9" t="s">
        <v>81</v>
      </c>
      <c r="K18" s="9"/>
      <c r="L18" s="8" t="s">
        <v>82</v>
      </c>
      <c r="M18" s="8" t="s">
        <v>25</v>
      </c>
      <c r="N18" s="12"/>
      <c r="O18" s="13"/>
      <c r="P18" s="13"/>
      <c r="Q18" s="13"/>
      <c r="R18" s="14"/>
      <c r="S18" s="14"/>
      <c r="T18" s="12"/>
      <c r="U18" s="28">
        <v>42288</v>
      </c>
    </row>
    <row r="19" spans="1:21" ht="25.35" customHeight="1">
      <c r="A19" s="6">
        <v>183</v>
      </c>
      <c r="B19" s="16">
        <v>2015</v>
      </c>
      <c r="C19" s="17" t="s">
        <v>26</v>
      </c>
      <c r="D19" s="17" t="s">
        <v>32</v>
      </c>
      <c r="E19" s="17" t="s">
        <v>83</v>
      </c>
      <c r="F19" s="18">
        <v>0.17</v>
      </c>
      <c r="G19" s="19">
        <v>30000</v>
      </c>
      <c r="H19" s="17"/>
      <c r="I19" s="20"/>
      <c r="J19" s="17"/>
      <c r="K19" s="17"/>
      <c r="L19" s="16" t="s">
        <v>84</v>
      </c>
      <c r="M19" s="17" t="s">
        <v>25</v>
      </c>
      <c r="N19" s="17" t="s">
        <v>85</v>
      </c>
      <c r="O19" s="21"/>
      <c r="P19" s="22"/>
      <c r="Q19" s="17"/>
      <c r="R19" s="23"/>
      <c r="S19" s="24"/>
      <c r="T19" s="25"/>
      <c r="U19" s="39">
        <v>42333</v>
      </c>
    </row>
    <row r="20" spans="1:21" ht="47.75" customHeight="1">
      <c r="A20" s="6">
        <v>182</v>
      </c>
      <c r="B20" s="29">
        <v>2015</v>
      </c>
      <c r="C20" s="30" t="s">
        <v>86</v>
      </c>
      <c r="D20" s="30" t="s">
        <v>44</v>
      </c>
      <c r="E20" s="30" t="s">
        <v>87</v>
      </c>
      <c r="F20" s="31">
        <v>1.1</v>
      </c>
      <c r="G20" s="32">
        <v>6842000</v>
      </c>
      <c r="H20" s="33" t="s">
        <v>88</v>
      </c>
      <c r="I20" s="33"/>
      <c r="J20" s="30" t="s">
        <v>89</v>
      </c>
      <c r="K20" s="30"/>
      <c r="L20" s="29" t="s">
        <v>90</v>
      </c>
      <c r="M20" s="30" t="s">
        <v>54</v>
      </c>
      <c r="N20" s="30" t="s">
        <v>91</v>
      </c>
      <c r="O20" s="40">
        <v>6.842</v>
      </c>
      <c r="P20" s="40">
        <f>O20*0.9</f>
        <v>6.1578</v>
      </c>
      <c r="Q20" s="30"/>
      <c r="R20" s="35" t="s">
        <v>92</v>
      </c>
      <c r="S20" s="36"/>
      <c r="T20" s="37" t="s">
        <v>93</v>
      </c>
      <c r="U20" s="38">
        <v>42288</v>
      </c>
    </row>
    <row r="21" spans="1:21" ht="47.75" customHeight="1">
      <c r="A21" s="6">
        <v>181</v>
      </c>
      <c r="B21" s="29">
        <v>2015</v>
      </c>
      <c r="C21" s="30" t="s">
        <v>94</v>
      </c>
      <c r="D21" s="30" t="s">
        <v>44</v>
      </c>
      <c r="E21" s="30" t="s">
        <v>95</v>
      </c>
      <c r="F21" s="31">
        <v>2.9</v>
      </c>
      <c r="G21" s="32">
        <v>15981000</v>
      </c>
      <c r="H21" s="33" t="s">
        <v>88</v>
      </c>
      <c r="I21" s="33"/>
      <c r="J21" s="30" t="s">
        <v>96</v>
      </c>
      <c r="K21" s="30"/>
      <c r="L21" s="29" t="s">
        <v>90</v>
      </c>
      <c r="M21" s="30" t="s">
        <v>54</v>
      </c>
      <c r="N21" s="30" t="s">
        <v>91</v>
      </c>
      <c r="O21" s="40">
        <v>15.981</v>
      </c>
      <c r="P21" s="40">
        <f>O21*0.9</f>
        <v>14.3829</v>
      </c>
      <c r="Q21" s="30"/>
      <c r="R21" s="35" t="s">
        <v>92</v>
      </c>
      <c r="S21" s="36"/>
      <c r="T21" s="37" t="s">
        <v>97</v>
      </c>
      <c r="U21" s="38">
        <v>42288</v>
      </c>
    </row>
    <row r="22" spans="1:21" ht="47.75" customHeight="1">
      <c r="A22" s="6">
        <v>180</v>
      </c>
      <c r="B22" s="41">
        <v>2015</v>
      </c>
      <c r="C22" s="42" t="s">
        <v>41</v>
      </c>
      <c r="D22" s="43" t="s">
        <v>98</v>
      </c>
      <c r="E22" s="43" t="s">
        <v>99</v>
      </c>
      <c r="F22" s="44">
        <v>0.5</v>
      </c>
      <c r="G22" s="45">
        <v>50000</v>
      </c>
      <c r="H22" s="46" t="s">
        <v>80</v>
      </c>
      <c r="I22" s="46"/>
      <c r="J22" s="43" t="s">
        <v>100</v>
      </c>
      <c r="K22" s="43"/>
      <c r="L22" s="42" t="s">
        <v>101</v>
      </c>
      <c r="M22" s="42" t="s">
        <v>25</v>
      </c>
      <c r="N22" s="47"/>
      <c r="O22" s="48"/>
      <c r="P22" s="48"/>
      <c r="Q22" s="48"/>
      <c r="R22" s="49"/>
      <c r="S22" s="49"/>
      <c r="T22" s="47"/>
      <c r="U22" s="50">
        <v>42288</v>
      </c>
    </row>
    <row r="23" spans="1:21" ht="70.1" customHeight="1">
      <c r="A23" s="6">
        <v>179</v>
      </c>
      <c r="B23" s="7">
        <v>2015</v>
      </c>
      <c r="C23" s="8" t="s">
        <v>41</v>
      </c>
      <c r="D23" s="9" t="s">
        <v>22</v>
      </c>
      <c r="E23" s="9" t="s">
        <v>102</v>
      </c>
      <c r="F23" s="10">
        <v>0.6</v>
      </c>
      <c r="G23" s="27">
        <v>100000</v>
      </c>
      <c r="H23" s="11" t="s">
        <v>80</v>
      </c>
      <c r="I23" s="11"/>
      <c r="J23" s="9" t="s">
        <v>103</v>
      </c>
      <c r="K23" s="9"/>
      <c r="L23" s="8" t="s">
        <v>101</v>
      </c>
      <c r="M23" s="8" t="s">
        <v>25</v>
      </c>
      <c r="N23" s="12"/>
      <c r="O23" s="13"/>
      <c r="P23" s="13"/>
      <c r="Q23" s="13"/>
      <c r="R23" s="14"/>
      <c r="S23" s="14"/>
      <c r="T23" s="12"/>
      <c r="U23" s="28">
        <v>42288</v>
      </c>
    </row>
    <row r="24" spans="1:21" ht="25.35" customHeight="1">
      <c r="A24" s="6">
        <v>178</v>
      </c>
      <c r="B24" s="16">
        <v>2014</v>
      </c>
      <c r="C24" s="17" t="s">
        <v>26</v>
      </c>
      <c r="D24" s="17" t="s">
        <v>32</v>
      </c>
      <c r="E24" s="17" t="s">
        <v>104</v>
      </c>
      <c r="F24" s="18">
        <v>0.35</v>
      </c>
      <c r="G24" s="19">
        <v>1000000</v>
      </c>
      <c r="H24" s="17"/>
      <c r="I24" s="20">
        <f>G24/F24/1000</f>
        <v>2857.14285714286</v>
      </c>
      <c r="J24" s="17" t="s">
        <v>105</v>
      </c>
      <c r="K24" s="17" t="s">
        <v>106</v>
      </c>
      <c r="L24" s="16" t="s">
        <v>107</v>
      </c>
      <c r="M24" s="17" t="s">
        <v>25</v>
      </c>
      <c r="N24" s="17" t="s">
        <v>108</v>
      </c>
      <c r="O24" s="21"/>
      <c r="P24" s="22"/>
      <c r="Q24" s="17"/>
      <c r="R24" s="23"/>
      <c r="S24" s="24" t="s">
        <v>109</v>
      </c>
      <c r="T24" s="25"/>
      <c r="U24" s="39">
        <v>41999</v>
      </c>
    </row>
    <row r="25" spans="1:21" ht="47.75" customHeight="1">
      <c r="A25" s="6">
        <v>177</v>
      </c>
      <c r="B25" s="41">
        <v>2014</v>
      </c>
      <c r="C25" s="42" t="s">
        <v>41</v>
      </c>
      <c r="D25" s="43" t="s">
        <v>98</v>
      </c>
      <c r="E25" s="43" t="s">
        <v>110</v>
      </c>
      <c r="F25" s="44">
        <v>0.8</v>
      </c>
      <c r="G25" s="45">
        <f>F25*360000</f>
        <v>288000</v>
      </c>
      <c r="H25" s="46" t="s">
        <v>80</v>
      </c>
      <c r="I25" s="46"/>
      <c r="J25" s="43" t="s">
        <v>111</v>
      </c>
      <c r="K25" s="43" t="s">
        <v>112</v>
      </c>
      <c r="L25" s="42" t="s">
        <v>113</v>
      </c>
      <c r="M25" s="42" t="s">
        <v>25</v>
      </c>
      <c r="N25" s="47"/>
      <c r="O25" s="48"/>
      <c r="P25" s="48"/>
      <c r="Q25" s="48"/>
      <c r="R25" s="49"/>
      <c r="S25" s="49"/>
      <c r="T25" s="47"/>
      <c r="U25" s="50">
        <v>41881</v>
      </c>
    </row>
    <row r="26" spans="1:21" ht="70.1" customHeight="1">
      <c r="A26" s="6">
        <v>176</v>
      </c>
      <c r="B26" s="7">
        <v>2014</v>
      </c>
      <c r="C26" s="8" t="s">
        <v>114</v>
      </c>
      <c r="D26" s="9" t="s">
        <v>22</v>
      </c>
      <c r="E26" s="9" t="s">
        <v>115</v>
      </c>
      <c r="F26" s="10">
        <v>1.3</v>
      </c>
      <c r="G26" s="27">
        <v>100000</v>
      </c>
      <c r="H26" s="11"/>
      <c r="I26" s="11"/>
      <c r="J26" s="9" t="s">
        <v>116</v>
      </c>
      <c r="K26" s="9"/>
      <c r="L26" s="8" t="s">
        <v>117</v>
      </c>
      <c r="M26" s="8" t="s">
        <v>25</v>
      </c>
      <c r="N26" s="12"/>
      <c r="O26" s="13"/>
      <c r="P26" s="13"/>
      <c r="Q26" s="13"/>
      <c r="R26" s="14"/>
      <c r="S26" s="14"/>
      <c r="T26" s="12"/>
      <c r="U26" s="28"/>
    </row>
    <row r="27" spans="1:21" ht="70.1" customHeight="1">
      <c r="A27" s="6">
        <v>175</v>
      </c>
      <c r="B27" s="7">
        <v>2014</v>
      </c>
      <c r="C27" s="8" t="s">
        <v>41</v>
      </c>
      <c r="D27" s="9" t="s">
        <v>22</v>
      </c>
      <c r="E27" s="9" t="s">
        <v>118</v>
      </c>
      <c r="F27" s="10">
        <v>1</v>
      </c>
      <c r="G27" s="27">
        <v>100000</v>
      </c>
      <c r="H27" s="11" t="s">
        <v>80</v>
      </c>
      <c r="I27" s="11"/>
      <c r="J27" s="9" t="s">
        <v>119</v>
      </c>
      <c r="K27" s="9"/>
      <c r="L27" s="8" t="s">
        <v>120</v>
      </c>
      <c r="M27" s="8" t="s">
        <v>25</v>
      </c>
      <c r="N27" s="12"/>
      <c r="O27" s="13"/>
      <c r="P27" s="13"/>
      <c r="Q27" s="13"/>
      <c r="R27" s="14"/>
      <c r="S27" s="14"/>
      <c r="T27" s="12"/>
      <c r="U27" s="28">
        <v>41881</v>
      </c>
    </row>
    <row r="28" spans="1:21" ht="25.35" customHeight="1">
      <c r="A28" s="6">
        <v>174</v>
      </c>
      <c r="B28" s="7">
        <v>2014</v>
      </c>
      <c r="C28" s="8" t="s">
        <v>41</v>
      </c>
      <c r="D28" s="9" t="s">
        <v>22</v>
      </c>
      <c r="E28" s="9" t="s">
        <v>121</v>
      </c>
      <c r="F28" s="10">
        <v>0.4</v>
      </c>
      <c r="G28" s="27">
        <v>120000</v>
      </c>
      <c r="H28" s="11" t="s">
        <v>80</v>
      </c>
      <c r="I28" s="11"/>
      <c r="J28" s="9" t="s">
        <v>122</v>
      </c>
      <c r="K28" s="9" t="s">
        <v>123</v>
      </c>
      <c r="L28" s="8" t="s">
        <v>124</v>
      </c>
      <c r="M28" s="8" t="s">
        <v>25</v>
      </c>
      <c r="N28" s="12"/>
      <c r="O28" s="13" t="s">
        <v>125</v>
      </c>
      <c r="P28" s="13" t="s">
        <v>126</v>
      </c>
      <c r="Q28" s="13"/>
      <c r="R28" s="14" t="s">
        <v>125</v>
      </c>
      <c r="S28" s="14"/>
      <c r="T28" s="12"/>
      <c r="U28" s="28">
        <v>41881</v>
      </c>
    </row>
    <row r="29" spans="1:21" ht="14.65" customHeight="1">
      <c r="A29" s="6">
        <v>173</v>
      </c>
      <c r="B29" s="41">
        <v>2014</v>
      </c>
      <c r="C29" s="42" t="s">
        <v>41</v>
      </c>
      <c r="D29" s="43" t="s">
        <v>127</v>
      </c>
      <c r="E29" s="43" t="s">
        <v>128</v>
      </c>
      <c r="F29" s="44">
        <v>0.8</v>
      </c>
      <c r="G29" s="45">
        <v>300000</v>
      </c>
      <c r="H29" s="46" t="s">
        <v>80</v>
      </c>
      <c r="I29" s="46"/>
      <c r="J29" s="43" t="s">
        <v>128</v>
      </c>
      <c r="K29" s="43" t="s">
        <v>129</v>
      </c>
      <c r="L29" s="42" t="s">
        <v>130</v>
      </c>
      <c r="M29" s="42" t="s">
        <v>127</v>
      </c>
      <c r="N29" s="47"/>
      <c r="O29" s="48"/>
      <c r="P29" s="48"/>
      <c r="Q29" s="48"/>
      <c r="R29" s="49"/>
      <c r="S29" s="49"/>
      <c r="T29" s="47"/>
      <c r="U29" s="50">
        <v>41762</v>
      </c>
    </row>
    <row r="30" spans="1:21" ht="126.1" customHeight="1">
      <c r="A30" s="6">
        <v>172</v>
      </c>
      <c r="B30" s="7">
        <v>2013</v>
      </c>
      <c r="C30" s="8" t="s">
        <v>41</v>
      </c>
      <c r="D30" s="9" t="s">
        <v>22</v>
      </c>
      <c r="E30" s="9" t="s">
        <v>131</v>
      </c>
      <c r="F30" s="10">
        <v>2.9</v>
      </c>
      <c r="G30" s="11">
        <v>590000</v>
      </c>
      <c r="H30" s="11" t="s">
        <v>80</v>
      </c>
      <c r="I30" s="11">
        <f>G30/F30/1000</f>
        <v>203.448275862069</v>
      </c>
      <c r="J30" s="9" t="s">
        <v>132</v>
      </c>
      <c r="K30" s="9"/>
      <c r="L30" s="8" t="s">
        <v>133</v>
      </c>
      <c r="M30" s="8" t="s">
        <v>25</v>
      </c>
      <c r="N30" s="12"/>
      <c r="O30" s="13" t="s">
        <v>125</v>
      </c>
      <c r="P30" s="13" t="s">
        <v>126</v>
      </c>
      <c r="Q30" s="13"/>
      <c r="R30" s="14" t="s">
        <v>125</v>
      </c>
      <c r="S30" s="14"/>
      <c r="T30" s="12"/>
      <c r="U30" s="28">
        <v>41881</v>
      </c>
    </row>
    <row r="31" spans="1:21" ht="47.75" customHeight="1">
      <c r="A31" s="6">
        <v>171</v>
      </c>
      <c r="B31" s="41">
        <v>2013</v>
      </c>
      <c r="C31" s="42" t="s">
        <v>41</v>
      </c>
      <c r="D31" s="43" t="s">
        <v>98</v>
      </c>
      <c r="E31" s="43" t="s">
        <v>134</v>
      </c>
      <c r="F31" s="44">
        <v>0.5</v>
      </c>
      <c r="G31" s="46">
        <v>183000</v>
      </c>
      <c r="H31" s="46" t="s">
        <v>80</v>
      </c>
      <c r="I31" s="46">
        <f>G31/F31/1000</f>
        <v>366</v>
      </c>
      <c r="J31" s="43" t="s">
        <v>111</v>
      </c>
      <c r="K31" s="43" t="s">
        <v>135</v>
      </c>
      <c r="L31" s="42" t="s">
        <v>136</v>
      </c>
      <c r="M31" s="42" t="s">
        <v>25</v>
      </c>
      <c r="N31" s="47"/>
      <c r="O31" s="48" t="s">
        <v>125</v>
      </c>
      <c r="P31" s="48" t="s">
        <v>126</v>
      </c>
      <c r="Q31" s="48"/>
      <c r="R31" s="49" t="s">
        <v>125</v>
      </c>
      <c r="S31" s="49"/>
      <c r="T31" s="47"/>
      <c r="U31" s="50">
        <v>41762</v>
      </c>
    </row>
    <row r="32" spans="1:21" s="51" customFormat="1" ht="25.35" customHeight="1">
      <c r="A32" s="6">
        <v>170</v>
      </c>
      <c r="B32" s="7">
        <v>2013</v>
      </c>
      <c r="C32" s="8" t="s">
        <v>41</v>
      </c>
      <c r="D32" s="9" t="s">
        <v>22</v>
      </c>
      <c r="E32" s="9" t="s">
        <v>137</v>
      </c>
      <c r="F32" s="10">
        <v>1</v>
      </c>
      <c r="G32" s="11">
        <v>997000</v>
      </c>
      <c r="H32" s="11" t="s">
        <v>80</v>
      </c>
      <c r="I32" s="11">
        <f>G32/F32/1000</f>
        <v>997</v>
      </c>
      <c r="J32" s="9"/>
      <c r="K32" s="9" t="s">
        <v>138</v>
      </c>
      <c r="L32" s="8" t="s">
        <v>139</v>
      </c>
      <c r="M32" s="8" t="s">
        <v>25</v>
      </c>
      <c r="N32" s="12"/>
      <c r="O32" s="13" t="s">
        <v>125</v>
      </c>
      <c r="P32" s="13" t="s">
        <v>126</v>
      </c>
      <c r="Q32" s="13"/>
      <c r="R32" s="14" t="s">
        <v>125</v>
      </c>
      <c r="S32" s="14"/>
      <c r="T32" s="12"/>
      <c r="U32" s="28">
        <v>41762</v>
      </c>
    </row>
    <row r="33" spans="1:21" s="52" customFormat="1" ht="58.95" customHeight="1">
      <c r="A33" s="6">
        <v>169</v>
      </c>
      <c r="B33" s="16">
        <v>2013</v>
      </c>
      <c r="C33" s="25" t="s">
        <v>140</v>
      </c>
      <c r="D33" s="17" t="s">
        <v>32</v>
      </c>
      <c r="E33" s="17" t="s">
        <v>141</v>
      </c>
      <c r="F33" s="18">
        <v>0.037</v>
      </c>
      <c r="G33" s="19">
        <v>14500000</v>
      </c>
      <c r="H33" s="17" t="s">
        <v>142</v>
      </c>
      <c r="I33" s="20">
        <f>G33/F33/1000</f>
        <v>391891.891891892</v>
      </c>
      <c r="J33" s="17" t="s">
        <v>143</v>
      </c>
      <c r="K33" s="17"/>
      <c r="L33" s="16" t="s">
        <v>133</v>
      </c>
      <c r="M33" s="17" t="s">
        <v>54</v>
      </c>
      <c r="N33" s="17" t="s">
        <v>144</v>
      </c>
      <c r="O33" s="21">
        <f>64.3</f>
        <v>64.3</v>
      </c>
      <c r="P33" s="22">
        <f>O33*0.4</f>
        <v>25.72</v>
      </c>
      <c r="Q33" s="17"/>
      <c r="R33" s="23" t="s">
        <v>145</v>
      </c>
      <c r="S33" s="24" t="s">
        <v>146</v>
      </c>
      <c r="T33" s="25" t="s">
        <v>147</v>
      </c>
      <c r="U33" s="39">
        <v>41423</v>
      </c>
    </row>
    <row r="34" spans="1:21" s="52" customFormat="1" ht="81.3" customHeight="1">
      <c r="A34" s="6">
        <v>168</v>
      </c>
      <c r="B34" s="16">
        <v>2013</v>
      </c>
      <c r="C34" s="25" t="s">
        <v>41</v>
      </c>
      <c r="D34" s="17" t="s">
        <v>32</v>
      </c>
      <c r="E34" s="17" t="s">
        <v>148</v>
      </c>
      <c r="F34" s="18">
        <v>0.3</v>
      </c>
      <c r="G34" s="20">
        <f>F34*I34*1000</f>
        <v>90000</v>
      </c>
      <c r="H34" s="20" t="s">
        <v>149</v>
      </c>
      <c r="I34" s="53">
        <v>300</v>
      </c>
      <c r="J34" s="17" t="s">
        <v>150</v>
      </c>
      <c r="K34" s="17" t="s">
        <v>151</v>
      </c>
      <c r="L34" s="16" t="s">
        <v>152</v>
      </c>
      <c r="M34" s="17" t="s">
        <v>25</v>
      </c>
      <c r="N34" s="17" t="s">
        <v>153</v>
      </c>
      <c r="O34" s="21">
        <f>39.974*1.9</f>
        <v>75.9506</v>
      </c>
      <c r="P34" s="22">
        <v>35</v>
      </c>
      <c r="Q34" s="22">
        <f>IF(AND(D34="[1]sdružená investice",ISNUMBER(P34)),P34/O34*G34/1000000,"")</f>
        <v>0.0414743267334294</v>
      </c>
      <c r="R34" s="23" t="s">
        <v>145</v>
      </c>
      <c r="S34" s="24" t="s">
        <v>154</v>
      </c>
      <c r="T34" s="25" t="s">
        <v>155</v>
      </c>
      <c r="U34" s="39">
        <v>41261</v>
      </c>
    </row>
    <row r="35" spans="1:21" s="52" customFormat="1" ht="70.1" customHeight="1">
      <c r="A35" s="6">
        <v>167</v>
      </c>
      <c r="B35" s="16">
        <v>2013</v>
      </c>
      <c r="C35" s="25" t="s">
        <v>38</v>
      </c>
      <c r="D35" s="17" t="s">
        <v>32</v>
      </c>
      <c r="E35" s="17" t="s">
        <v>156</v>
      </c>
      <c r="F35" s="18">
        <v>0.2</v>
      </c>
      <c r="G35" s="19">
        <v>1855000</v>
      </c>
      <c r="H35" s="20" t="s">
        <v>157</v>
      </c>
      <c r="I35" s="53">
        <v>600</v>
      </c>
      <c r="J35" s="17" t="s">
        <v>158</v>
      </c>
      <c r="K35" s="17" t="s">
        <v>159</v>
      </c>
      <c r="L35" s="16" t="s">
        <v>160</v>
      </c>
      <c r="M35" s="17" t="s">
        <v>25</v>
      </c>
      <c r="N35" s="17" t="s">
        <v>161</v>
      </c>
      <c r="O35" s="21">
        <v>5.2</v>
      </c>
      <c r="P35" s="22">
        <v>3.04</v>
      </c>
      <c r="Q35" s="22">
        <f>IF(AND(D35="[1]sdružená investice",ISNUMBER(P35)),P35/O35*G35/1000000,"")</f>
        <v>1.08446153846154</v>
      </c>
      <c r="R35" s="23" t="s">
        <v>145</v>
      </c>
      <c r="S35" s="24"/>
      <c r="T35" s="25" t="s">
        <v>162</v>
      </c>
      <c r="U35" s="39">
        <v>41285</v>
      </c>
    </row>
    <row r="36" spans="1:21" s="52" customFormat="1" ht="47.75" customHeight="1">
      <c r="A36" s="6">
        <v>166</v>
      </c>
      <c r="B36" s="16">
        <v>2013</v>
      </c>
      <c r="C36" s="25" t="s">
        <v>41</v>
      </c>
      <c r="D36" s="17" t="s">
        <v>32</v>
      </c>
      <c r="E36" s="17" t="s">
        <v>163</v>
      </c>
      <c r="F36" s="18">
        <v>0.4</v>
      </c>
      <c r="G36" s="20">
        <f>F36*I36*1000</f>
        <v>1000000</v>
      </c>
      <c r="H36" s="20"/>
      <c r="I36" s="53">
        <v>2500</v>
      </c>
      <c r="J36" s="17" t="s">
        <v>164</v>
      </c>
      <c r="K36" s="17" t="s">
        <v>165</v>
      </c>
      <c r="L36" s="16"/>
      <c r="M36" s="17" t="s">
        <v>25</v>
      </c>
      <c r="N36" s="17" t="s">
        <v>166</v>
      </c>
      <c r="O36" s="21">
        <v>35.945</v>
      </c>
      <c r="P36" s="22"/>
      <c r="Q36" s="17"/>
      <c r="R36" s="23" t="s">
        <v>125</v>
      </c>
      <c r="S36" s="24" t="s">
        <v>167</v>
      </c>
      <c r="T36" s="25" t="s">
        <v>168</v>
      </c>
      <c r="U36" s="39">
        <v>41334</v>
      </c>
    </row>
    <row r="37" spans="1:21" s="59" customFormat="1" ht="25.35" customHeight="1">
      <c r="A37" s="6">
        <v>165</v>
      </c>
      <c r="B37" s="54">
        <v>2012</v>
      </c>
      <c r="C37" s="13" t="s">
        <v>169</v>
      </c>
      <c r="D37" s="9" t="s">
        <v>22</v>
      </c>
      <c r="E37" s="9" t="s">
        <v>170</v>
      </c>
      <c r="F37" s="10">
        <v>0.1</v>
      </c>
      <c r="G37" s="27">
        <v>10000</v>
      </c>
      <c r="H37" s="11" t="s">
        <v>80</v>
      </c>
      <c r="I37" s="11">
        <f>G37/F37/1000</f>
        <v>100</v>
      </c>
      <c r="J37" s="9" t="s">
        <v>171</v>
      </c>
      <c r="K37" s="9" t="s">
        <v>172</v>
      </c>
      <c r="L37" s="54" t="s">
        <v>173</v>
      </c>
      <c r="M37" s="9" t="s">
        <v>54</v>
      </c>
      <c r="N37" s="9" t="s">
        <v>126</v>
      </c>
      <c r="O37" s="55" t="s">
        <v>125</v>
      </c>
      <c r="P37" s="9" t="s">
        <v>126</v>
      </c>
      <c r="Q37" s="9"/>
      <c r="R37" s="56" t="s">
        <v>125</v>
      </c>
      <c r="S37" s="57" t="s">
        <v>174</v>
      </c>
      <c r="T37" s="8" t="s">
        <v>126</v>
      </c>
      <c r="U37" s="58">
        <v>41261</v>
      </c>
    </row>
    <row r="38" spans="1:21" s="59" customFormat="1" ht="25.35" customHeight="1">
      <c r="A38" s="6">
        <v>164</v>
      </c>
      <c r="B38" s="54">
        <v>2012</v>
      </c>
      <c r="C38" s="13" t="s">
        <v>175</v>
      </c>
      <c r="D38" s="9" t="s">
        <v>22</v>
      </c>
      <c r="E38" s="9" t="s">
        <v>176</v>
      </c>
      <c r="F38" s="10">
        <v>0.2</v>
      </c>
      <c r="G38" s="27">
        <v>10000</v>
      </c>
      <c r="H38" s="11" t="s">
        <v>80</v>
      </c>
      <c r="I38" s="11">
        <f>G38/F38/1000</f>
        <v>50</v>
      </c>
      <c r="J38" s="9" t="s">
        <v>177</v>
      </c>
      <c r="K38" s="9" t="s">
        <v>178</v>
      </c>
      <c r="L38" s="54"/>
      <c r="M38" s="9" t="s">
        <v>25</v>
      </c>
      <c r="N38" s="9"/>
      <c r="O38" s="55" t="s">
        <v>125</v>
      </c>
      <c r="P38" s="9"/>
      <c r="Q38" s="9"/>
      <c r="R38" s="56" t="s">
        <v>125</v>
      </c>
      <c r="S38" s="57"/>
      <c r="T38" s="8"/>
      <c r="U38" s="58">
        <v>41319</v>
      </c>
    </row>
    <row r="39" spans="1:21" s="52" customFormat="1" ht="25.35" customHeight="1">
      <c r="A39" s="6">
        <v>163</v>
      </c>
      <c r="B39" s="16">
        <v>2012</v>
      </c>
      <c r="C39" s="25" t="s">
        <v>76</v>
      </c>
      <c r="D39" s="17" t="s">
        <v>32</v>
      </c>
      <c r="E39" s="17" t="s">
        <v>179</v>
      </c>
      <c r="F39" s="18">
        <v>0.2</v>
      </c>
      <c r="G39" s="20">
        <f>F39*I39*1000</f>
        <v>500000</v>
      </c>
      <c r="H39" s="60" t="s">
        <v>180</v>
      </c>
      <c r="I39" s="60">
        <v>2500</v>
      </c>
      <c r="J39" s="17" t="s">
        <v>181</v>
      </c>
      <c r="K39" s="17" t="s">
        <v>182</v>
      </c>
      <c r="L39" s="16" t="s">
        <v>183</v>
      </c>
      <c r="M39" s="17" t="s">
        <v>25</v>
      </c>
      <c r="N39" s="61" t="s">
        <v>184</v>
      </c>
      <c r="O39" s="21">
        <v>37.803</v>
      </c>
      <c r="P39" s="22" t="s">
        <v>126</v>
      </c>
      <c r="Q39" s="17" t="str">
        <f>IF(AND(D39="[1]sdružená investice",ISNUMBER(P39)),P39/O39*G39/1000000,"")</f>
        <v/>
      </c>
      <c r="R39" s="23" t="s">
        <v>125</v>
      </c>
      <c r="S39" s="24"/>
      <c r="T39" s="25" t="s">
        <v>185</v>
      </c>
      <c r="U39" s="39">
        <v>42687</v>
      </c>
    </row>
    <row r="40" spans="1:21" s="64" customFormat="1" ht="36.55" customHeight="1">
      <c r="A40" s="6">
        <v>162</v>
      </c>
      <c r="B40" s="29">
        <v>2012</v>
      </c>
      <c r="C40" s="62" t="s">
        <v>50</v>
      </c>
      <c r="D40" s="30" t="s">
        <v>44</v>
      </c>
      <c r="E40" s="30" t="s">
        <v>186</v>
      </c>
      <c r="F40" s="31">
        <v>1.4</v>
      </c>
      <c r="G40" s="32">
        <v>7000000</v>
      </c>
      <c r="H40" s="32" t="s">
        <v>80</v>
      </c>
      <c r="I40" s="33">
        <f>G40/F40/1000</f>
        <v>5000</v>
      </c>
      <c r="J40" s="30" t="s">
        <v>187</v>
      </c>
      <c r="K40" s="30" t="s">
        <v>188</v>
      </c>
      <c r="L40" s="29" t="s">
        <v>189</v>
      </c>
      <c r="M40" s="30" t="s">
        <v>54</v>
      </c>
      <c r="N40" s="30" t="s">
        <v>126</v>
      </c>
      <c r="O40" s="34" t="s">
        <v>125</v>
      </c>
      <c r="P40" s="30" t="s">
        <v>126</v>
      </c>
      <c r="Q40" s="30"/>
      <c r="R40" s="35" t="s">
        <v>125</v>
      </c>
      <c r="S40" s="36" t="s">
        <v>190</v>
      </c>
      <c r="T40" s="63" t="s">
        <v>191</v>
      </c>
      <c r="U40" s="38">
        <v>41261</v>
      </c>
    </row>
    <row r="41" spans="1:21" s="64" customFormat="1" ht="70.1" customHeight="1">
      <c r="A41" s="6">
        <v>161</v>
      </c>
      <c r="B41" s="29">
        <v>2012</v>
      </c>
      <c r="C41" s="62" t="s">
        <v>41</v>
      </c>
      <c r="D41" s="30" t="s">
        <v>44</v>
      </c>
      <c r="E41" s="30" t="s">
        <v>192</v>
      </c>
      <c r="F41" s="31">
        <v>1.663</v>
      </c>
      <c r="G41" s="32">
        <v>14376000</v>
      </c>
      <c r="H41" s="30" t="s">
        <v>193</v>
      </c>
      <c r="I41" s="33">
        <f>G41/F41/1000</f>
        <v>8644.61815995189</v>
      </c>
      <c r="J41" s="30" t="s">
        <v>158</v>
      </c>
      <c r="K41" s="30" t="s">
        <v>194</v>
      </c>
      <c r="L41" s="29" t="s">
        <v>195</v>
      </c>
      <c r="M41" s="30" t="s">
        <v>54</v>
      </c>
      <c r="N41" s="30" t="s">
        <v>196</v>
      </c>
      <c r="O41" s="34" t="s">
        <v>125</v>
      </c>
      <c r="P41" s="30" t="s">
        <v>126</v>
      </c>
      <c r="Q41" s="30"/>
      <c r="R41" s="35" t="s">
        <v>125</v>
      </c>
      <c r="S41" s="36" t="s">
        <v>197</v>
      </c>
      <c r="T41" s="62" t="s">
        <v>198</v>
      </c>
      <c r="U41" s="38">
        <v>41152</v>
      </c>
    </row>
    <row r="42" spans="1:21" s="64" customFormat="1" ht="25.35" customHeight="1">
      <c r="A42" s="6">
        <v>160</v>
      </c>
      <c r="B42" s="29">
        <v>2012</v>
      </c>
      <c r="C42" s="62" t="s">
        <v>199</v>
      </c>
      <c r="D42" s="30" t="s">
        <v>62</v>
      </c>
      <c r="E42" s="30" t="s">
        <v>200</v>
      </c>
      <c r="F42" s="31">
        <v>0.028</v>
      </c>
      <c r="G42" s="32">
        <v>3300000</v>
      </c>
      <c r="H42" s="30" t="s">
        <v>201</v>
      </c>
      <c r="I42" s="33">
        <f>G42/F42/1000</f>
        <v>117857.142857143</v>
      </c>
      <c r="J42" s="30" t="s">
        <v>202</v>
      </c>
      <c r="K42" s="30" t="s">
        <v>203</v>
      </c>
      <c r="L42" s="29" t="s">
        <v>189</v>
      </c>
      <c r="M42" s="30" t="s">
        <v>67</v>
      </c>
      <c r="N42" s="29" t="s">
        <v>126</v>
      </c>
      <c r="O42" s="34" t="s">
        <v>125</v>
      </c>
      <c r="P42" s="30" t="s">
        <v>126</v>
      </c>
      <c r="Q42" s="30"/>
      <c r="R42" s="35" t="s">
        <v>125</v>
      </c>
      <c r="S42" s="36"/>
      <c r="T42" s="63" t="s">
        <v>204</v>
      </c>
      <c r="U42" s="38">
        <v>41281</v>
      </c>
    </row>
    <row r="43" spans="1:21" s="59" customFormat="1" ht="50.7" customHeight="1">
      <c r="A43" s="6">
        <v>159</v>
      </c>
      <c r="B43" s="65">
        <v>2012</v>
      </c>
      <c r="C43" s="43" t="s">
        <v>28</v>
      </c>
      <c r="D43" s="43" t="s">
        <v>98</v>
      </c>
      <c r="E43" s="43" t="s">
        <v>205</v>
      </c>
      <c r="F43" s="44">
        <v>1.2</v>
      </c>
      <c r="G43" s="66">
        <f>F43*I43*1000</f>
        <v>720000</v>
      </c>
      <c r="H43" s="67" t="s">
        <v>80</v>
      </c>
      <c r="I43" s="67">
        <v>600</v>
      </c>
      <c r="J43" s="43" t="s">
        <v>206</v>
      </c>
      <c r="K43" s="43" t="s">
        <v>207</v>
      </c>
      <c r="L43" s="68" t="s">
        <v>208</v>
      </c>
      <c r="M43" s="68" t="s">
        <v>25</v>
      </c>
      <c r="N43" s="43" t="s">
        <v>126</v>
      </c>
      <c r="O43" s="69" t="s">
        <v>125</v>
      </c>
      <c r="P43" s="43" t="s">
        <v>126</v>
      </c>
      <c r="Q43" s="43"/>
      <c r="R43" s="43" t="s">
        <v>125</v>
      </c>
      <c r="S43" s="70" t="s">
        <v>209</v>
      </c>
      <c r="T43" s="48" t="s">
        <v>210</v>
      </c>
      <c r="U43" s="71">
        <v>41182</v>
      </c>
    </row>
    <row r="44" spans="1:21" s="59" customFormat="1" ht="25.5" customHeight="1">
      <c r="A44" s="6">
        <v>158</v>
      </c>
      <c r="B44" s="29">
        <v>2012</v>
      </c>
      <c r="C44" s="30" t="s">
        <v>41</v>
      </c>
      <c r="D44" s="30" t="s">
        <v>44</v>
      </c>
      <c r="E44" s="30" t="s">
        <v>211</v>
      </c>
      <c r="F44" s="31" t="s">
        <v>212</v>
      </c>
      <c r="G44" s="32">
        <v>300000</v>
      </c>
      <c r="H44" s="30"/>
      <c r="I44" s="33">
        <f>G44/28</f>
        <v>10714.2857142857</v>
      </c>
      <c r="J44" s="30" t="s">
        <v>213</v>
      </c>
      <c r="K44" s="30" t="s">
        <v>214</v>
      </c>
      <c r="L44" s="29" t="s">
        <v>215</v>
      </c>
      <c r="M44" s="30" t="s">
        <v>25</v>
      </c>
      <c r="N44" s="30" t="s">
        <v>126</v>
      </c>
      <c r="O44" s="34" t="s">
        <v>125</v>
      </c>
      <c r="P44" s="30" t="s">
        <v>126</v>
      </c>
      <c r="Q44" s="30"/>
      <c r="R44" s="35" t="s">
        <v>125</v>
      </c>
      <c r="S44" s="36" t="s">
        <v>216</v>
      </c>
      <c r="T44" s="72" t="s">
        <v>217</v>
      </c>
      <c r="U44" s="38">
        <v>41182</v>
      </c>
    </row>
    <row r="45" spans="1:21" s="52" customFormat="1" ht="38.25" customHeight="1">
      <c r="A45" s="6">
        <v>157</v>
      </c>
      <c r="B45" s="16">
        <v>2012</v>
      </c>
      <c r="C45" s="17" t="s">
        <v>76</v>
      </c>
      <c r="D45" s="17" t="s">
        <v>32</v>
      </c>
      <c r="E45" s="17" t="s">
        <v>218</v>
      </c>
      <c r="F45" s="18">
        <v>0.25</v>
      </c>
      <c r="G45" s="20">
        <f>F45*I45*1000</f>
        <v>300000</v>
      </c>
      <c r="H45" s="60"/>
      <c r="I45" s="60">
        <v>1200</v>
      </c>
      <c r="J45" s="17" t="s">
        <v>219</v>
      </c>
      <c r="K45" s="17" t="s">
        <v>220</v>
      </c>
      <c r="L45" s="16" t="s">
        <v>221</v>
      </c>
      <c r="M45" s="17" t="s">
        <v>25</v>
      </c>
      <c r="N45" s="17" t="s">
        <v>222</v>
      </c>
      <c r="O45" s="21">
        <v>8300</v>
      </c>
      <c r="P45" s="17" t="s">
        <v>223</v>
      </c>
      <c r="Q45" s="17" t="str">
        <f>IF(AND(D45="[1]sdružená investice",ISNUMBER(P45)),P45/O45*G45/1000000,"")</f>
        <v/>
      </c>
      <c r="R45" s="23" t="s">
        <v>224</v>
      </c>
      <c r="S45" s="24" t="s">
        <v>225</v>
      </c>
      <c r="T45" s="25" t="s">
        <v>226</v>
      </c>
      <c r="U45" s="39">
        <v>41277</v>
      </c>
    </row>
    <row r="46" spans="1:21" s="52" customFormat="1" ht="25.5" customHeight="1">
      <c r="A46" s="6">
        <v>156</v>
      </c>
      <c r="B46" s="16">
        <v>2012</v>
      </c>
      <c r="C46" s="17" t="s">
        <v>76</v>
      </c>
      <c r="D46" s="17" t="s">
        <v>32</v>
      </c>
      <c r="E46" s="17" t="s">
        <v>227</v>
      </c>
      <c r="F46" s="18">
        <v>0.13</v>
      </c>
      <c r="G46" s="20">
        <f>F46*I46*1000</f>
        <v>650000</v>
      </c>
      <c r="H46" s="60"/>
      <c r="I46" s="60">
        <v>5000</v>
      </c>
      <c r="J46" s="17" t="s">
        <v>228</v>
      </c>
      <c r="K46" s="17" t="s">
        <v>229</v>
      </c>
      <c r="L46" s="16" t="s">
        <v>230</v>
      </c>
      <c r="M46" s="17" t="s">
        <v>25</v>
      </c>
      <c r="N46" s="17" t="s">
        <v>222</v>
      </c>
      <c r="O46" s="21" t="s">
        <v>231</v>
      </c>
      <c r="P46" s="17" t="s">
        <v>223</v>
      </c>
      <c r="Q46" s="17" t="str">
        <f>IF(AND(D46="[1]sdružená investice",ISNUMBER(P46)),P46/O46*G46/1000000,"")</f>
        <v/>
      </c>
      <c r="R46" s="23" t="s">
        <v>224</v>
      </c>
      <c r="S46" s="24" t="s">
        <v>232</v>
      </c>
      <c r="T46" s="25" t="s">
        <v>226</v>
      </c>
      <c r="U46" s="39">
        <v>41278</v>
      </c>
    </row>
    <row r="47" spans="1:21" s="52" customFormat="1" ht="38.25" customHeight="1">
      <c r="A47" s="6">
        <v>155</v>
      </c>
      <c r="B47" s="16">
        <v>2012</v>
      </c>
      <c r="C47" s="17" t="s">
        <v>233</v>
      </c>
      <c r="D47" s="17" t="s">
        <v>32</v>
      </c>
      <c r="E47" s="17" t="s">
        <v>234</v>
      </c>
      <c r="F47" s="18">
        <v>1.2</v>
      </c>
      <c r="G47" s="20">
        <f>F47*I47*1000</f>
        <v>6000000</v>
      </c>
      <c r="H47" s="60"/>
      <c r="I47" s="60">
        <v>5000</v>
      </c>
      <c r="J47" s="17" t="s">
        <v>181</v>
      </c>
      <c r="K47" s="17" t="s">
        <v>235</v>
      </c>
      <c r="L47" s="16" t="s">
        <v>183</v>
      </c>
      <c r="M47" s="17" t="s">
        <v>25</v>
      </c>
      <c r="N47" s="17" t="s">
        <v>236</v>
      </c>
      <c r="O47" s="21" t="s">
        <v>223</v>
      </c>
      <c r="P47" s="17" t="s">
        <v>126</v>
      </c>
      <c r="Q47" s="17" t="str">
        <f>IF(AND(D47="[1]sdružená investice",ISNUMBER(P47)),P47/O47*G47/1000000,"")</f>
        <v/>
      </c>
      <c r="R47" s="23" t="s">
        <v>237</v>
      </c>
      <c r="S47" s="24" t="s">
        <v>238</v>
      </c>
      <c r="T47" s="73" t="s">
        <v>239</v>
      </c>
      <c r="U47" s="39">
        <v>41280</v>
      </c>
    </row>
    <row r="48" spans="1:21" s="64" customFormat="1" ht="47.75">
      <c r="A48" s="6">
        <v>154</v>
      </c>
      <c r="B48" s="29">
        <v>2012</v>
      </c>
      <c r="C48" s="30" t="s">
        <v>94</v>
      </c>
      <c r="D48" s="30" t="s">
        <v>44</v>
      </c>
      <c r="E48" s="30" t="s">
        <v>240</v>
      </c>
      <c r="F48" s="31">
        <v>0.2</v>
      </c>
      <c r="G48" s="74">
        <v>464000</v>
      </c>
      <c r="H48" s="30" t="s">
        <v>241</v>
      </c>
      <c r="I48" s="33"/>
      <c r="J48" s="30" t="s">
        <v>242</v>
      </c>
      <c r="K48" s="30"/>
      <c r="L48" s="29" t="s">
        <v>243</v>
      </c>
      <c r="M48" s="30" t="s">
        <v>54</v>
      </c>
      <c r="N48" s="30" t="s">
        <v>244</v>
      </c>
      <c r="O48" s="34"/>
      <c r="P48" s="40">
        <v>0.464</v>
      </c>
      <c r="Q48" s="30"/>
      <c r="R48" s="35" t="s">
        <v>92</v>
      </c>
      <c r="S48" s="36"/>
      <c r="T48" s="72" t="s">
        <v>245</v>
      </c>
      <c r="U48" s="38">
        <v>43085</v>
      </c>
    </row>
    <row r="49" spans="1:21" s="64" customFormat="1" ht="51" customHeight="1">
      <c r="A49" s="6">
        <v>153</v>
      </c>
      <c r="B49" s="29">
        <v>2011</v>
      </c>
      <c r="C49" s="30" t="s">
        <v>61</v>
      </c>
      <c r="D49" s="30" t="s">
        <v>44</v>
      </c>
      <c r="E49" s="30" t="s">
        <v>246</v>
      </c>
      <c r="F49" s="31">
        <v>1.077</v>
      </c>
      <c r="G49" s="32">
        <v>17386000</v>
      </c>
      <c r="H49" s="30" t="s">
        <v>247</v>
      </c>
      <c r="I49" s="33">
        <f>G49/F49/1000</f>
        <v>16142.9897864438</v>
      </c>
      <c r="J49" s="30" t="s">
        <v>248</v>
      </c>
      <c r="K49" s="30" t="s">
        <v>249</v>
      </c>
      <c r="L49" s="29" t="s">
        <v>250</v>
      </c>
      <c r="M49" s="30" t="s">
        <v>54</v>
      </c>
      <c r="N49" s="30" t="s">
        <v>251</v>
      </c>
      <c r="O49" s="34" t="s">
        <v>125</v>
      </c>
      <c r="P49" s="30" t="s">
        <v>126</v>
      </c>
      <c r="Q49" s="30"/>
      <c r="R49" s="35" t="s">
        <v>125</v>
      </c>
      <c r="S49" s="36" t="s">
        <v>252</v>
      </c>
      <c r="T49" s="72" t="s">
        <v>253</v>
      </c>
      <c r="U49" s="38">
        <v>40721</v>
      </c>
    </row>
    <row r="50" spans="1:21" s="64" customFormat="1" ht="38.25" customHeight="1">
      <c r="A50" s="6">
        <v>152</v>
      </c>
      <c r="B50" s="29">
        <v>2011</v>
      </c>
      <c r="C50" s="30" t="s">
        <v>61</v>
      </c>
      <c r="D50" s="30" t="s">
        <v>44</v>
      </c>
      <c r="E50" s="30" t="s">
        <v>254</v>
      </c>
      <c r="F50" s="31">
        <v>0.243</v>
      </c>
      <c r="G50" s="32">
        <v>3025000</v>
      </c>
      <c r="H50" s="30" t="s">
        <v>255</v>
      </c>
      <c r="I50" s="33">
        <f>G50/F50/1000</f>
        <v>12448.5596707819</v>
      </c>
      <c r="J50" s="30" t="s">
        <v>256</v>
      </c>
      <c r="K50" s="30" t="s">
        <v>257</v>
      </c>
      <c r="L50" s="29" t="s">
        <v>250</v>
      </c>
      <c r="M50" s="30" t="s">
        <v>54</v>
      </c>
      <c r="N50" s="30" t="s">
        <v>258</v>
      </c>
      <c r="O50" s="34" t="s">
        <v>125</v>
      </c>
      <c r="P50" s="30" t="s">
        <v>126</v>
      </c>
      <c r="Q50" s="30"/>
      <c r="R50" s="35" t="s">
        <v>125</v>
      </c>
      <c r="S50" s="36" t="s">
        <v>259</v>
      </c>
      <c r="T50" s="62" t="s">
        <v>260</v>
      </c>
      <c r="U50" s="38">
        <v>40780</v>
      </c>
    </row>
    <row r="51" spans="1:21" s="52" customFormat="1" ht="38.25" customHeight="1">
      <c r="A51" s="6">
        <v>151</v>
      </c>
      <c r="B51" s="16">
        <v>2011</v>
      </c>
      <c r="C51" s="17" t="s">
        <v>26</v>
      </c>
      <c r="D51" s="17" t="s">
        <v>32</v>
      </c>
      <c r="E51" s="17" t="s">
        <v>261</v>
      </c>
      <c r="F51" s="18">
        <v>0.1</v>
      </c>
      <c r="G51" s="20">
        <f>F51*I51*1000</f>
        <v>120000</v>
      </c>
      <c r="H51" s="60"/>
      <c r="I51" s="60">
        <v>1200</v>
      </c>
      <c r="J51" s="17" t="s">
        <v>262</v>
      </c>
      <c r="K51" s="17" t="s">
        <v>263</v>
      </c>
      <c r="L51" s="16" t="s">
        <v>264</v>
      </c>
      <c r="M51" s="17" t="s">
        <v>25</v>
      </c>
      <c r="N51" s="17" t="s">
        <v>265</v>
      </c>
      <c r="O51" s="21">
        <v>100.02</v>
      </c>
      <c r="P51" s="22">
        <v>30.462</v>
      </c>
      <c r="Q51" s="22">
        <f>IF(AND(D51="[1]sdružená investice",ISNUMBER(P51)),P51/O51*G51/1000000,"")</f>
        <v>0.0365470905818836</v>
      </c>
      <c r="R51" s="23" t="s">
        <v>145</v>
      </c>
      <c r="S51" s="24" t="s">
        <v>266</v>
      </c>
      <c r="T51" s="75" t="s">
        <v>267</v>
      </c>
      <c r="U51" s="39">
        <v>40708</v>
      </c>
    </row>
    <row r="52" spans="1:21" s="52" customFormat="1" ht="38.25" customHeight="1">
      <c r="A52" s="6">
        <v>150</v>
      </c>
      <c r="B52" s="16">
        <v>2011</v>
      </c>
      <c r="C52" s="17" t="s">
        <v>47</v>
      </c>
      <c r="D52" s="17" t="s">
        <v>32</v>
      </c>
      <c r="E52" s="17" t="s">
        <v>268</v>
      </c>
      <c r="F52" s="18">
        <v>0.725</v>
      </c>
      <c r="G52" s="20">
        <f>F52*I52*1000</f>
        <v>870000</v>
      </c>
      <c r="H52" s="60"/>
      <c r="I52" s="60">
        <v>1200</v>
      </c>
      <c r="J52" s="17" t="s">
        <v>269</v>
      </c>
      <c r="K52" s="17"/>
      <c r="L52" s="16" t="s">
        <v>270</v>
      </c>
      <c r="M52" s="17" t="s">
        <v>54</v>
      </c>
      <c r="N52" s="17" t="s">
        <v>271</v>
      </c>
      <c r="O52" s="21">
        <v>16.327</v>
      </c>
      <c r="P52" s="22">
        <v>15.003</v>
      </c>
      <c r="Q52" s="22">
        <f>IF(AND(D52="[1]sdružená investice",ISNUMBER(P52)),P52/O52*G52/1000000,"")</f>
        <v>0.799449378330373</v>
      </c>
      <c r="R52" s="23" t="s">
        <v>145</v>
      </c>
      <c r="S52" s="24" t="s">
        <v>272</v>
      </c>
      <c r="T52" s="76" t="s">
        <v>273</v>
      </c>
      <c r="U52" s="39">
        <v>40759</v>
      </c>
    </row>
    <row r="53" spans="1:21" s="59" customFormat="1" ht="25.5" customHeight="1">
      <c r="A53" s="6">
        <v>149</v>
      </c>
      <c r="B53" s="54">
        <v>2011</v>
      </c>
      <c r="C53" s="9" t="s">
        <v>274</v>
      </c>
      <c r="D53" s="9" t="s">
        <v>22</v>
      </c>
      <c r="E53" s="9" t="s">
        <v>275</v>
      </c>
      <c r="F53" s="10">
        <v>0.2</v>
      </c>
      <c r="G53" s="11">
        <v>2000</v>
      </c>
      <c r="H53" s="11"/>
      <c r="I53" s="11">
        <f>G53/F53/100</f>
        <v>100</v>
      </c>
      <c r="J53" s="9" t="s">
        <v>276</v>
      </c>
      <c r="K53" s="9" t="s">
        <v>277</v>
      </c>
      <c r="L53" s="54" t="s">
        <v>278</v>
      </c>
      <c r="M53" s="9" t="s">
        <v>25</v>
      </c>
      <c r="N53" s="9" t="s">
        <v>126</v>
      </c>
      <c r="O53" s="55" t="s">
        <v>125</v>
      </c>
      <c r="P53" s="9" t="s">
        <v>126</v>
      </c>
      <c r="Q53" s="9"/>
      <c r="R53" s="56" t="s">
        <v>125</v>
      </c>
      <c r="S53" s="57" t="s">
        <v>279</v>
      </c>
      <c r="T53" s="8" t="s">
        <v>126</v>
      </c>
      <c r="U53" s="58">
        <v>40759</v>
      </c>
    </row>
    <row r="54" spans="1:21" s="51" customFormat="1" ht="25.5" customHeight="1">
      <c r="A54" s="6">
        <v>148</v>
      </c>
      <c r="B54" s="54">
        <v>2011</v>
      </c>
      <c r="C54" s="9" t="s">
        <v>41</v>
      </c>
      <c r="D54" s="9" t="s">
        <v>22</v>
      </c>
      <c r="E54" s="9" t="s">
        <v>280</v>
      </c>
      <c r="F54" s="10">
        <v>0.45</v>
      </c>
      <c r="G54" s="11">
        <f>F54*I54*1000</f>
        <v>135000</v>
      </c>
      <c r="H54" s="77"/>
      <c r="I54" s="77">
        <v>300</v>
      </c>
      <c r="J54" s="9" t="s">
        <v>281</v>
      </c>
      <c r="K54" s="9" t="s">
        <v>282</v>
      </c>
      <c r="L54" s="54" t="s">
        <v>278</v>
      </c>
      <c r="M54" s="9" t="s">
        <v>25</v>
      </c>
      <c r="N54" s="9" t="s">
        <v>126</v>
      </c>
      <c r="O54" s="9" t="s">
        <v>125</v>
      </c>
      <c r="P54" s="9" t="s">
        <v>126</v>
      </c>
      <c r="Q54" s="9"/>
      <c r="R54" s="9" t="s">
        <v>125</v>
      </c>
      <c r="S54" s="57" t="s">
        <v>283</v>
      </c>
      <c r="T54" s="8" t="s">
        <v>126</v>
      </c>
      <c r="U54" s="58">
        <v>41270</v>
      </c>
    </row>
    <row r="55" spans="1:21" s="79" customFormat="1" ht="38.25" customHeight="1">
      <c r="A55" s="6">
        <v>147</v>
      </c>
      <c r="B55" s="16">
        <v>2011</v>
      </c>
      <c r="C55" s="17" t="s">
        <v>41</v>
      </c>
      <c r="D55" s="17" t="s">
        <v>32</v>
      </c>
      <c r="E55" s="17" t="s">
        <v>284</v>
      </c>
      <c r="F55" s="18">
        <v>0.075</v>
      </c>
      <c r="G55" s="20">
        <f>F55*I55*1000</f>
        <v>45000</v>
      </c>
      <c r="H55" s="60"/>
      <c r="I55" s="60">
        <v>600</v>
      </c>
      <c r="J55" s="17" t="s">
        <v>262</v>
      </c>
      <c r="K55" s="17" t="s">
        <v>285</v>
      </c>
      <c r="L55" s="16" t="s">
        <v>286</v>
      </c>
      <c r="M55" s="17" t="s">
        <v>25</v>
      </c>
      <c r="N55" s="61" t="s">
        <v>287</v>
      </c>
      <c r="O55" s="78">
        <v>194.5</v>
      </c>
      <c r="P55" s="22">
        <v>74</v>
      </c>
      <c r="Q55" s="22">
        <f>IF(AND(D55="[1]sdružená investice",ISNUMBER(P55)),P55/O55*G55/1000000,"")</f>
        <v>0.017120822622108</v>
      </c>
      <c r="R55" s="23" t="s">
        <v>145</v>
      </c>
      <c r="S55" s="24" t="s">
        <v>288</v>
      </c>
      <c r="T55" s="25"/>
      <c r="U55" s="39">
        <v>41270</v>
      </c>
    </row>
    <row r="56" spans="1:21" s="51" customFormat="1" ht="51" customHeight="1">
      <c r="A56" s="6">
        <v>146</v>
      </c>
      <c r="B56" s="65">
        <v>2010</v>
      </c>
      <c r="C56" s="43" t="s">
        <v>289</v>
      </c>
      <c r="D56" s="43" t="s">
        <v>98</v>
      </c>
      <c r="E56" s="43" t="s">
        <v>290</v>
      </c>
      <c r="F56" s="44">
        <v>0.75</v>
      </c>
      <c r="G56" s="66">
        <f>F56*I56*1000</f>
        <v>225000</v>
      </c>
      <c r="H56" s="67"/>
      <c r="I56" s="67">
        <v>300</v>
      </c>
      <c r="J56" s="43" t="s">
        <v>291</v>
      </c>
      <c r="K56" s="43" t="s">
        <v>292</v>
      </c>
      <c r="L56" s="68" t="s">
        <v>293</v>
      </c>
      <c r="M56" s="68" t="s">
        <v>25</v>
      </c>
      <c r="N56" s="43" t="s">
        <v>126</v>
      </c>
      <c r="O56" s="69" t="s">
        <v>125</v>
      </c>
      <c r="P56" s="43" t="s">
        <v>126</v>
      </c>
      <c r="Q56" s="43"/>
      <c r="R56" s="43" t="s">
        <v>125</v>
      </c>
      <c r="S56" s="70" t="s">
        <v>294</v>
      </c>
      <c r="T56" s="42"/>
      <c r="U56" s="71">
        <v>41281</v>
      </c>
    </row>
    <row r="57" spans="1:21" s="51" customFormat="1" ht="51" customHeight="1">
      <c r="A57" s="6">
        <v>145</v>
      </c>
      <c r="B57" s="65">
        <v>2010</v>
      </c>
      <c r="C57" s="43" t="s">
        <v>41</v>
      </c>
      <c r="D57" s="43" t="s">
        <v>98</v>
      </c>
      <c r="E57" s="43" t="s">
        <v>295</v>
      </c>
      <c r="F57" s="44">
        <v>0.4</v>
      </c>
      <c r="G57" s="66">
        <f>F57*I57*1000</f>
        <v>240000</v>
      </c>
      <c r="H57" s="67"/>
      <c r="I57" s="67">
        <v>600</v>
      </c>
      <c r="J57" s="43" t="s">
        <v>111</v>
      </c>
      <c r="K57" s="43" t="s">
        <v>296</v>
      </c>
      <c r="L57" s="68" t="s">
        <v>297</v>
      </c>
      <c r="M57" s="68" t="s">
        <v>25</v>
      </c>
      <c r="N57" s="43" t="s">
        <v>126</v>
      </c>
      <c r="O57" s="69" t="s">
        <v>125</v>
      </c>
      <c r="P57" s="43" t="s">
        <v>126</v>
      </c>
      <c r="Q57" s="43"/>
      <c r="R57" s="43" t="s">
        <v>125</v>
      </c>
      <c r="S57" s="70" t="s">
        <v>298</v>
      </c>
      <c r="T57" s="42"/>
      <c r="U57" s="71">
        <v>41270</v>
      </c>
    </row>
    <row r="58" spans="1:21" s="51" customFormat="1" ht="25.5" customHeight="1">
      <c r="A58" s="6">
        <v>144</v>
      </c>
      <c r="B58" s="54">
        <v>2010</v>
      </c>
      <c r="C58" s="9" t="s">
        <v>41</v>
      </c>
      <c r="D58" s="9" t="s">
        <v>22</v>
      </c>
      <c r="E58" s="9" t="s">
        <v>299</v>
      </c>
      <c r="F58" s="10">
        <v>0.2</v>
      </c>
      <c r="G58" s="80">
        <f>F58*I58*1000</f>
        <v>120000</v>
      </c>
      <c r="H58" s="77"/>
      <c r="I58" s="77">
        <v>600</v>
      </c>
      <c r="J58" s="9" t="s">
        <v>300</v>
      </c>
      <c r="K58" s="9" t="s">
        <v>301</v>
      </c>
      <c r="L58" s="56" t="s">
        <v>297</v>
      </c>
      <c r="M58" s="56" t="s">
        <v>25</v>
      </c>
      <c r="N58" s="9" t="s">
        <v>126</v>
      </c>
      <c r="O58" s="81" t="s">
        <v>125</v>
      </c>
      <c r="P58" s="9" t="s">
        <v>126</v>
      </c>
      <c r="Q58" s="9"/>
      <c r="R58" s="9" t="s">
        <v>125</v>
      </c>
      <c r="S58" s="57" t="s">
        <v>302</v>
      </c>
      <c r="T58" s="8"/>
      <c r="U58" s="58">
        <v>41270</v>
      </c>
    </row>
    <row r="59" spans="1:21" s="51" customFormat="1" ht="25.5" customHeight="1">
      <c r="A59" s="6">
        <v>143</v>
      </c>
      <c r="B59" s="54">
        <v>2010</v>
      </c>
      <c r="C59" s="9" t="s">
        <v>41</v>
      </c>
      <c r="D59" s="9" t="s">
        <v>22</v>
      </c>
      <c r="E59" s="9" t="s">
        <v>303</v>
      </c>
      <c r="F59" s="10">
        <v>1</v>
      </c>
      <c r="G59" s="80">
        <f>F59*I59*1000</f>
        <v>600000</v>
      </c>
      <c r="H59" s="77"/>
      <c r="I59" s="77">
        <v>600</v>
      </c>
      <c r="J59" s="9" t="s">
        <v>304</v>
      </c>
      <c r="K59" s="9" t="s">
        <v>305</v>
      </c>
      <c r="L59" s="56" t="s">
        <v>306</v>
      </c>
      <c r="M59" s="9" t="s">
        <v>25</v>
      </c>
      <c r="N59" s="9" t="s">
        <v>126</v>
      </c>
      <c r="O59" s="81" t="s">
        <v>125</v>
      </c>
      <c r="P59" s="9" t="s">
        <v>126</v>
      </c>
      <c r="Q59" s="9"/>
      <c r="R59" s="9" t="s">
        <v>125</v>
      </c>
      <c r="S59" s="57" t="s">
        <v>307</v>
      </c>
      <c r="T59" s="8"/>
      <c r="U59" s="58">
        <v>41270</v>
      </c>
    </row>
    <row r="60" spans="1:21" s="51" customFormat="1" ht="51" customHeight="1">
      <c r="A60" s="6">
        <v>142</v>
      </c>
      <c r="B60" s="65">
        <v>2010</v>
      </c>
      <c r="C60" s="43" t="s">
        <v>72</v>
      </c>
      <c r="D60" s="43" t="s">
        <v>98</v>
      </c>
      <c r="E60" s="43" t="s">
        <v>308</v>
      </c>
      <c r="F60" s="44">
        <v>1.3</v>
      </c>
      <c r="G60" s="66">
        <f>F60*I60*1000</f>
        <v>1560000</v>
      </c>
      <c r="H60" s="67"/>
      <c r="I60" s="67">
        <v>1200</v>
      </c>
      <c r="J60" s="43" t="s">
        <v>309</v>
      </c>
      <c r="K60" s="43" t="s">
        <v>310</v>
      </c>
      <c r="L60" s="68" t="s">
        <v>306</v>
      </c>
      <c r="M60" s="43" t="s">
        <v>25</v>
      </c>
      <c r="N60" s="43" t="s">
        <v>126</v>
      </c>
      <c r="O60" s="69" t="s">
        <v>125</v>
      </c>
      <c r="P60" s="82" t="s">
        <v>126</v>
      </c>
      <c r="Q60" s="82"/>
      <c r="R60" s="43" t="s">
        <v>125</v>
      </c>
      <c r="S60" s="70" t="s">
        <v>311</v>
      </c>
      <c r="T60" s="42"/>
      <c r="U60" s="71">
        <v>41270</v>
      </c>
    </row>
    <row r="61" spans="1:21" s="83" customFormat="1" ht="63.75" customHeight="1">
      <c r="A61" s="6">
        <v>141</v>
      </c>
      <c r="B61" s="29">
        <v>2010</v>
      </c>
      <c r="C61" s="30" t="s">
        <v>61</v>
      </c>
      <c r="D61" s="30" t="s">
        <v>44</v>
      </c>
      <c r="E61" s="30" t="s">
        <v>312</v>
      </c>
      <c r="F61" s="31">
        <v>0.9</v>
      </c>
      <c r="G61" s="32">
        <v>12284000</v>
      </c>
      <c r="H61" s="30" t="s">
        <v>142</v>
      </c>
      <c r="I61" s="33">
        <f>G61/F61/1000</f>
        <v>13648.8888888889</v>
      </c>
      <c r="J61" s="30" t="s">
        <v>313</v>
      </c>
      <c r="K61" s="30" t="s">
        <v>314</v>
      </c>
      <c r="L61" s="29" t="s">
        <v>315</v>
      </c>
      <c r="M61" s="30" t="s">
        <v>54</v>
      </c>
      <c r="N61" s="30" t="s">
        <v>316</v>
      </c>
      <c r="O61" s="34" t="s">
        <v>126</v>
      </c>
      <c r="P61" s="40">
        <v>10.5</v>
      </c>
      <c r="Q61" s="40"/>
      <c r="R61" s="35" t="s">
        <v>145</v>
      </c>
      <c r="S61" s="36" t="s">
        <v>317</v>
      </c>
      <c r="T61" s="62" t="s">
        <v>318</v>
      </c>
      <c r="U61" s="38">
        <v>41270</v>
      </c>
    </row>
    <row r="62" spans="1:21" s="83" customFormat="1" ht="51" customHeight="1">
      <c r="A62" s="6">
        <v>140</v>
      </c>
      <c r="B62" s="29">
        <v>2010</v>
      </c>
      <c r="C62" s="30" t="s">
        <v>61</v>
      </c>
      <c r="D62" s="30" t="s">
        <v>44</v>
      </c>
      <c r="E62" s="30" t="s">
        <v>319</v>
      </c>
      <c r="F62" s="31">
        <v>1</v>
      </c>
      <c r="G62" s="32">
        <v>12723000</v>
      </c>
      <c r="H62" s="32"/>
      <c r="I62" s="33">
        <f>G62/F62/1000</f>
        <v>12723</v>
      </c>
      <c r="J62" s="30" t="s">
        <v>320</v>
      </c>
      <c r="K62" s="30" t="s">
        <v>321</v>
      </c>
      <c r="L62" s="29" t="s">
        <v>315</v>
      </c>
      <c r="M62" s="30" t="s">
        <v>54</v>
      </c>
      <c r="N62" s="30" t="s">
        <v>316</v>
      </c>
      <c r="O62" s="34" t="s">
        <v>126</v>
      </c>
      <c r="P62" s="40">
        <v>11.7</v>
      </c>
      <c r="Q62" s="40"/>
      <c r="R62" s="35" t="s">
        <v>145</v>
      </c>
      <c r="S62" s="36" t="s">
        <v>322</v>
      </c>
      <c r="T62" s="62" t="s">
        <v>323</v>
      </c>
      <c r="U62" s="38">
        <v>41270</v>
      </c>
    </row>
    <row r="63" spans="1:21" s="83" customFormat="1" ht="70.1" customHeight="1">
      <c r="A63" s="6">
        <v>139</v>
      </c>
      <c r="B63" s="29">
        <v>2010</v>
      </c>
      <c r="C63" s="30" t="s">
        <v>324</v>
      </c>
      <c r="D63" s="30" t="s">
        <v>62</v>
      </c>
      <c r="E63" s="30" t="s">
        <v>325</v>
      </c>
      <c r="F63" s="31">
        <v>0.82</v>
      </c>
      <c r="G63" s="32">
        <v>12283000</v>
      </c>
      <c r="H63" s="30" t="s">
        <v>326</v>
      </c>
      <c r="I63" s="33">
        <f>G63/F63/1000</f>
        <v>14979.2682926829</v>
      </c>
      <c r="J63" s="30" t="s">
        <v>256</v>
      </c>
      <c r="K63" s="84" t="s">
        <v>327</v>
      </c>
      <c r="L63" s="29"/>
      <c r="M63" s="30" t="s">
        <v>67</v>
      </c>
      <c r="N63" s="30" t="s">
        <v>328</v>
      </c>
      <c r="O63" s="34" t="s">
        <v>125</v>
      </c>
      <c r="P63" s="40" t="s">
        <v>126</v>
      </c>
      <c r="Q63" s="40"/>
      <c r="R63" s="35" t="s">
        <v>125</v>
      </c>
      <c r="S63" s="36" t="s">
        <v>329</v>
      </c>
      <c r="T63" s="63" t="s">
        <v>330</v>
      </c>
      <c r="U63" s="38">
        <v>41270</v>
      </c>
    </row>
    <row r="64" spans="1:21" s="83" customFormat="1" ht="38.25" customHeight="1">
      <c r="A64" s="6">
        <v>138</v>
      </c>
      <c r="B64" s="29">
        <v>2009</v>
      </c>
      <c r="C64" s="30" t="s">
        <v>41</v>
      </c>
      <c r="D64" s="30" t="s">
        <v>44</v>
      </c>
      <c r="E64" s="30" t="s">
        <v>331</v>
      </c>
      <c r="F64" s="31">
        <v>0.17</v>
      </c>
      <c r="G64" s="32">
        <v>12786000</v>
      </c>
      <c r="H64" s="32"/>
      <c r="I64" s="33">
        <f>G64/F64/1000</f>
        <v>75211.7647058823</v>
      </c>
      <c r="J64" s="30" t="s">
        <v>158</v>
      </c>
      <c r="K64" s="30" t="s">
        <v>332</v>
      </c>
      <c r="L64" s="29"/>
      <c r="M64" s="30" t="s">
        <v>54</v>
      </c>
      <c r="N64" s="30" t="s">
        <v>333</v>
      </c>
      <c r="O64" s="34" t="s">
        <v>125</v>
      </c>
      <c r="P64" s="40">
        <v>6.125</v>
      </c>
      <c r="Q64" s="40"/>
      <c r="R64" s="35" t="s">
        <v>334</v>
      </c>
      <c r="S64" s="36" t="s">
        <v>335</v>
      </c>
      <c r="T64" s="62" t="s">
        <v>336</v>
      </c>
      <c r="U64" s="38">
        <v>41270</v>
      </c>
    </row>
    <row r="65" spans="1:21" s="96" customFormat="1" ht="38.25" customHeight="1">
      <c r="A65" s="6">
        <v>137</v>
      </c>
      <c r="B65" s="85">
        <v>2009</v>
      </c>
      <c r="C65" s="86" t="s">
        <v>337</v>
      </c>
      <c r="D65" s="87" t="s">
        <v>62</v>
      </c>
      <c r="E65" s="87" t="s">
        <v>338</v>
      </c>
      <c r="F65" s="88">
        <v>3.71</v>
      </c>
      <c r="G65" s="89">
        <v>7270710</v>
      </c>
      <c r="H65" s="89"/>
      <c r="I65" s="89">
        <f>G65/F65/1000</f>
        <v>1959.76010781671</v>
      </c>
      <c r="J65" s="87" t="s">
        <v>158</v>
      </c>
      <c r="K65" s="87" t="s">
        <v>339</v>
      </c>
      <c r="L65" s="85" t="s">
        <v>340</v>
      </c>
      <c r="M65" s="87" t="s">
        <v>341</v>
      </c>
      <c r="N65" s="87" t="s">
        <v>342</v>
      </c>
      <c r="O65" s="90" t="s">
        <v>125</v>
      </c>
      <c r="P65" s="91">
        <v>6.16953</v>
      </c>
      <c r="Q65" s="91"/>
      <c r="R65" s="92" t="s">
        <v>145</v>
      </c>
      <c r="S65" s="93" t="s">
        <v>343</v>
      </c>
      <c r="T65" s="94" t="s">
        <v>344</v>
      </c>
      <c r="U65" s="95">
        <v>41281</v>
      </c>
    </row>
    <row r="66" spans="1:21" s="96" customFormat="1" ht="51" customHeight="1">
      <c r="A66" s="6">
        <v>136</v>
      </c>
      <c r="B66" s="85">
        <v>2009</v>
      </c>
      <c r="C66" s="86" t="s">
        <v>345</v>
      </c>
      <c r="D66" s="87" t="s">
        <v>62</v>
      </c>
      <c r="E66" s="87" t="s">
        <v>346</v>
      </c>
      <c r="F66" s="88">
        <v>2.275</v>
      </c>
      <c r="G66" s="89">
        <v>4250000</v>
      </c>
      <c r="H66" s="89"/>
      <c r="I66" s="89">
        <f>G66/F66/1000</f>
        <v>1868.13186813187</v>
      </c>
      <c r="J66" s="87" t="s">
        <v>347</v>
      </c>
      <c r="K66" s="87" t="s">
        <v>348</v>
      </c>
      <c r="L66" s="85" t="s">
        <v>349</v>
      </c>
      <c r="M66" s="87" t="s">
        <v>341</v>
      </c>
      <c r="N66" s="87"/>
      <c r="O66" s="90"/>
      <c r="P66" s="91">
        <v>4.25</v>
      </c>
      <c r="Q66" s="91"/>
      <c r="R66" s="87" t="s">
        <v>350</v>
      </c>
      <c r="S66" s="93" t="s">
        <v>351</v>
      </c>
      <c r="T66" s="97" t="s">
        <v>352</v>
      </c>
      <c r="U66" s="95"/>
    </row>
    <row r="67" spans="1:21" s="52" customFormat="1" ht="38.25" customHeight="1">
      <c r="A67" s="6">
        <v>135</v>
      </c>
      <c r="B67" s="16">
        <v>2008</v>
      </c>
      <c r="C67" s="17" t="s">
        <v>61</v>
      </c>
      <c r="D67" s="17" t="s">
        <v>32</v>
      </c>
      <c r="E67" s="17" t="s">
        <v>353</v>
      </c>
      <c r="F67" s="18">
        <v>0.25</v>
      </c>
      <c r="G67" s="20">
        <f>F67*I67*1000</f>
        <v>1250000</v>
      </c>
      <c r="H67" s="60"/>
      <c r="I67" s="60">
        <v>5000</v>
      </c>
      <c r="J67" s="17" t="s">
        <v>181</v>
      </c>
      <c r="K67" s="17" t="s">
        <v>354</v>
      </c>
      <c r="L67" s="16" t="s">
        <v>355</v>
      </c>
      <c r="M67" s="17" t="s">
        <v>25</v>
      </c>
      <c r="N67" s="61" t="s">
        <v>356</v>
      </c>
      <c r="O67" s="21">
        <v>495</v>
      </c>
      <c r="P67" s="22">
        <v>226</v>
      </c>
      <c r="Q67" s="22">
        <f>IF(AND(D67="[1]sdružená investice",ISNUMBER(P67)),P67/O67*G67/1000000,"")</f>
        <v>0.570707070707071</v>
      </c>
      <c r="R67" s="23" t="s">
        <v>357</v>
      </c>
      <c r="S67" s="24" t="s">
        <v>358</v>
      </c>
      <c r="T67" s="25" t="s">
        <v>359</v>
      </c>
      <c r="U67" s="39">
        <v>41280</v>
      </c>
    </row>
    <row r="68" spans="1:21" s="83" customFormat="1" ht="63.75" customHeight="1">
      <c r="A68" s="6">
        <v>134</v>
      </c>
      <c r="B68" s="29">
        <v>2008</v>
      </c>
      <c r="C68" s="30" t="s">
        <v>50</v>
      </c>
      <c r="D68" s="30" t="s">
        <v>44</v>
      </c>
      <c r="E68" s="30" t="s">
        <v>360</v>
      </c>
      <c r="F68" s="31">
        <v>0.9</v>
      </c>
      <c r="G68" s="32">
        <v>9400000</v>
      </c>
      <c r="H68" s="32"/>
      <c r="I68" s="33">
        <f>G68/F68/1000</f>
        <v>10444.4444444444</v>
      </c>
      <c r="J68" s="30" t="s">
        <v>361</v>
      </c>
      <c r="K68" s="30" t="s">
        <v>362</v>
      </c>
      <c r="L68" s="29" t="s">
        <v>363</v>
      </c>
      <c r="M68" s="30" t="s">
        <v>54</v>
      </c>
      <c r="N68" s="30" t="s">
        <v>364</v>
      </c>
      <c r="O68" s="34" t="s">
        <v>126</v>
      </c>
      <c r="P68" s="40">
        <v>8.6</v>
      </c>
      <c r="Q68" s="40"/>
      <c r="R68" s="35" t="s">
        <v>145</v>
      </c>
      <c r="S68" s="36" t="s">
        <v>365</v>
      </c>
      <c r="T68" s="63" t="s">
        <v>366</v>
      </c>
      <c r="U68" s="38">
        <v>41270</v>
      </c>
    </row>
    <row r="69" spans="1:21" s="64" customFormat="1" ht="25.5" customHeight="1">
      <c r="A69" s="6">
        <v>133</v>
      </c>
      <c r="B69" s="29">
        <v>2008</v>
      </c>
      <c r="C69" s="30" t="s">
        <v>61</v>
      </c>
      <c r="D69" s="30" t="s">
        <v>44</v>
      </c>
      <c r="E69" s="30" t="s">
        <v>367</v>
      </c>
      <c r="F69" s="31">
        <v>0.43</v>
      </c>
      <c r="G69" s="32">
        <v>5577000</v>
      </c>
      <c r="H69" s="32"/>
      <c r="I69" s="33">
        <f>G69/F69/1000</f>
        <v>12969.7674418605</v>
      </c>
      <c r="J69" s="30" t="s">
        <v>158</v>
      </c>
      <c r="K69" s="30" t="s">
        <v>368</v>
      </c>
      <c r="L69" s="29"/>
      <c r="M69" s="30" t="s">
        <v>54</v>
      </c>
      <c r="N69" s="30" t="s">
        <v>126</v>
      </c>
      <c r="O69" s="34" t="s">
        <v>126</v>
      </c>
      <c r="P69" s="40" t="s">
        <v>126</v>
      </c>
      <c r="Q69" s="40"/>
      <c r="R69" s="35" t="s">
        <v>125</v>
      </c>
      <c r="S69" s="36" t="s">
        <v>369</v>
      </c>
      <c r="T69" s="37"/>
      <c r="U69" s="38">
        <v>41277</v>
      </c>
    </row>
    <row r="70" spans="1:21" s="52" customFormat="1" ht="25.5" customHeight="1">
      <c r="A70" s="6">
        <v>132</v>
      </c>
      <c r="B70" s="16">
        <v>2008</v>
      </c>
      <c r="C70" s="17" t="s">
        <v>76</v>
      </c>
      <c r="D70" s="17" t="s">
        <v>32</v>
      </c>
      <c r="E70" s="17" t="s">
        <v>370</v>
      </c>
      <c r="F70" s="18">
        <v>0.4</v>
      </c>
      <c r="G70" s="20">
        <f>F70*I70*1000</f>
        <v>2000000</v>
      </c>
      <c r="H70" s="60"/>
      <c r="I70" s="60">
        <v>5000</v>
      </c>
      <c r="J70" s="17" t="s">
        <v>181</v>
      </c>
      <c r="K70" s="17" t="s">
        <v>371</v>
      </c>
      <c r="L70" s="16" t="s">
        <v>372</v>
      </c>
      <c r="M70" s="17" t="s">
        <v>54</v>
      </c>
      <c r="N70" s="61" t="s">
        <v>373</v>
      </c>
      <c r="O70" s="21">
        <v>387.767</v>
      </c>
      <c r="P70" s="22" t="s">
        <v>126</v>
      </c>
      <c r="Q70" s="17" t="str">
        <f>IF(AND(D70="[1]sdružená investice",ISNUMBER(P70)),P70/O70*G70/1000000,"")</f>
        <v/>
      </c>
      <c r="R70" s="23" t="s">
        <v>125</v>
      </c>
      <c r="S70" s="24" t="s">
        <v>374</v>
      </c>
      <c r="T70" s="25"/>
      <c r="U70" s="39">
        <v>41277</v>
      </c>
    </row>
    <row r="71" spans="1:21" s="79" customFormat="1" ht="38.25" customHeight="1">
      <c r="A71" s="6">
        <v>131</v>
      </c>
      <c r="B71" s="16">
        <v>2007</v>
      </c>
      <c r="C71" s="17" t="s">
        <v>72</v>
      </c>
      <c r="D71" s="17" t="s">
        <v>32</v>
      </c>
      <c r="E71" s="17" t="s">
        <v>375</v>
      </c>
      <c r="F71" s="18">
        <v>1</v>
      </c>
      <c r="G71" s="20">
        <f>F71*I71*1000</f>
        <v>5000000</v>
      </c>
      <c r="H71" s="60"/>
      <c r="I71" s="60">
        <v>5000</v>
      </c>
      <c r="J71" s="17" t="s">
        <v>376</v>
      </c>
      <c r="K71" s="17" t="s">
        <v>377</v>
      </c>
      <c r="L71" s="16" t="s">
        <v>378</v>
      </c>
      <c r="M71" s="17" t="s">
        <v>25</v>
      </c>
      <c r="N71" s="17" t="s">
        <v>379</v>
      </c>
      <c r="O71" s="21">
        <v>300</v>
      </c>
      <c r="P71" s="22" t="s">
        <v>126</v>
      </c>
      <c r="Q71" s="17" t="str">
        <f>IF(AND(D71="[1]sdružená investice",ISNUMBER(P71)),P71/O71*G71/1000000,"")</f>
        <v/>
      </c>
      <c r="R71" s="23" t="s">
        <v>125</v>
      </c>
      <c r="S71" s="24" t="s">
        <v>380</v>
      </c>
      <c r="T71" s="25"/>
      <c r="U71" s="39">
        <v>41270</v>
      </c>
    </row>
    <row r="72" spans="1:21" s="52" customFormat="1" ht="25.5" customHeight="1">
      <c r="A72" s="6">
        <v>130</v>
      </c>
      <c r="B72" s="16">
        <v>2007</v>
      </c>
      <c r="C72" s="17" t="s">
        <v>41</v>
      </c>
      <c r="D72" s="17" t="s">
        <v>32</v>
      </c>
      <c r="E72" s="17" t="s">
        <v>381</v>
      </c>
      <c r="F72" s="18">
        <v>0.86</v>
      </c>
      <c r="G72" s="20">
        <f>F72*I72*1000</f>
        <v>4300000</v>
      </c>
      <c r="H72" s="60"/>
      <c r="I72" s="60">
        <v>5000</v>
      </c>
      <c r="J72" s="17" t="s">
        <v>382</v>
      </c>
      <c r="K72" s="17" t="s">
        <v>383</v>
      </c>
      <c r="L72" s="16" t="s">
        <v>384</v>
      </c>
      <c r="M72" s="17" t="s">
        <v>25</v>
      </c>
      <c r="N72" s="17" t="s">
        <v>385</v>
      </c>
      <c r="O72" s="21">
        <v>2676</v>
      </c>
      <c r="P72" s="21" t="s">
        <v>223</v>
      </c>
      <c r="Q72" s="17" t="str">
        <f>IF(AND(D72="[1]sdružená investice",ISNUMBER(P72)),P72/O72*G72/1000000,"")</f>
        <v/>
      </c>
      <c r="R72" s="23" t="s">
        <v>224</v>
      </c>
      <c r="S72" s="24" t="s">
        <v>386</v>
      </c>
      <c r="T72" s="25"/>
      <c r="U72" s="39">
        <v>41278</v>
      </c>
    </row>
    <row r="73" spans="1:21" s="96" customFormat="1" ht="51" customHeight="1">
      <c r="A73" s="6">
        <v>129</v>
      </c>
      <c r="B73" s="92">
        <v>2007</v>
      </c>
      <c r="C73" s="87" t="s">
        <v>41</v>
      </c>
      <c r="D73" s="87" t="s">
        <v>62</v>
      </c>
      <c r="E73" s="87" t="s">
        <v>387</v>
      </c>
      <c r="F73" s="98">
        <v>0.051</v>
      </c>
      <c r="G73" s="89">
        <f>F73*I73*1000</f>
        <v>2040000</v>
      </c>
      <c r="H73" s="99"/>
      <c r="I73" s="100">
        <v>40000</v>
      </c>
      <c r="J73" s="87"/>
      <c r="K73" s="87"/>
      <c r="L73" s="92" t="s">
        <v>388</v>
      </c>
      <c r="M73" s="87" t="s">
        <v>341</v>
      </c>
      <c r="N73" s="87" t="s">
        <v>126</v>
      </c>
      <c r="O73" s="90"/>
      <c r="P73" s="91" t="s">
        <v>223</v>
      </c>
      <c r="Q73" s="91"/>
      <c r="R73" s="101" t="s">
        <v>389</v>
      </c>
      <c r="S73" s="93" t="s">
        <v>390</v>
      </c>
      <c r="T73" s="97" t="s">
        <v>391</v>
      </c>
      <c r="U73" s="102">
        <v>41278</v>
      </c>
    </row>
    <row r="74" spans="1:21" s="64" customFormat="1" ht="38.25" customHeight="1">
      <c r="A74" s="6">
        <v>128</v>
      </c>
      <c r="B74" s="29">
        <v>2006</v>
      </c>
      <c r="C74" s="30" t="s">
        <v>61</v>
      </c>
      <c r="D74" s="30" t="s">
        <v>44</v>
      </c>
      <c r="E74" s="30" t="s">
        <v>392</v>
      </c>
      <c r="F74" s="31">
        <v>1.5</v>
      </c>
      <c r="G74" s="32">
        <v>12400000</v>
      </c>
      <c r="H74" s="32"/>
      <c r="I74" s="33">
        <f>G74/F74/1000</f>
        <v>8266.66666666667</v>
      </c>
      <c r="J74" s="30" t="s">
        <v>393</v>
      </c>
      <c r="K74" s="30" t="s">
        <v>394</v>
      </c>
      <c r="L74" s="29" t="s">
        <v>395</v>
      </c>
      <c r="M74" s="30" t="s">
        <v>54</v>
      </c>
      <c r="N74" s="30" t="s">
        <v>126</v>
      </c>
      <c r="O74" s="34" t="s">
        <v>125</v>
      </c>
      <c r="P74" s="40">
        <v>5.357</v>
      </c>
      <c r="Q74" s="40"/>
      <c r="R74" s="35" t="s">
        <v>334</v>
      </c>
      <c r="S74" s="36"/>
      <c r="T74" s="62" t="s">
        <v>396</v>
      </c>
      <c r="U74" s="38">
        <v>41278</v>
      </c>
    </row>
    <row r="75" spans="1:21" s="52" customFormat="1" ht="25.5" customHeight="1">
      <c r="A75" s="6">
        <v>127</v>
      </c>
      <c r="B75" s="16">
        <v>2006</v>
      </c>
      <c r="C75" s="17" t="s">
        <v>233</v>
      </c>
      <c r="D75" s="17" t="s">
        <v>32</v>
      </c>
      <c r="E75" s="17" t="s">
        <v>397</v>
      </c>
      <c r="F75" s="18">
        <v>1.2</v>
      </c>
      <c r="G75" s="20">
        <f>F75*I75*1000</f>
        <v>6000000</v>
      </c>
      <c r="H75" s="60"/>
      <c r="I75" s="60">
        <v>5000</v>
      </c>
      <c r="J75" s="23" t="s">
        <v>181</v>
      </c>
      <c r="K75" s="17" t="s">
        <v>398</v>
      </c>
      <c r="L75" s="16" t="s">
        <v>399</v>
      </c>
      <c r="M75" s="17" t="s">
        <v>25</v>
      </c>
      <c r="N75" s="17" t="s">
        <v>400</v>
      </c>
      <c r="O75" s="21">
        <v>1740.398</v>
      </c>
      <c r="P75" s="22" t="s">
        <v>126</v>
      </c>
      <c r="Q75" s="17" t="str">
        <f>IF(AND(D75="[1]sdružená investice",ISNUMBER(P75)),P75/O75*G75/1000000,"")</f>
        <v/>
      </c>
      <c r="R75" s="23" t="s">
        <v>125</v>
      </c>
      <c r="S75" s="24" t="s">
        <v>369</v>
      </c>
      <c r="T75" s="73" t="s">
        <v>401</v>
      </c>
      <c r="U75" s="39">
        <v>41278</v>
      </c>
    </row>
    <row r="76" spans="1:21" s="52" customFormat="1" ht="25.5" customHeight="1">
      <c r="A76" s="6">
        <v>126</v>
      </c>
      <c r="B76" s="16">
        <v>2005</v>
      </c>
      <c r="C76" s="17" t="s">
        <v>41</v>
      </c>
      <c r="D76" s="17" t="s">
        <v>32</v>
      </c>
      <c r="E76" s="17" t="s">
        <v>402</v>
      </c>
      <c r="F76" s="18">
        <v>0.18</v>
      </c>
      <c r="G76" s="20">
        <f>F76*I76*1000</f>
        <v>900000</v>
      </c>
      <c r="H76" s="60"/>
      <c r="I76" s="60">
        <v>5000</v>
      </c>
      <c r="J76" s="23" t="s">
        <v>181</v>
      </c>
      <c r="K76" s="17" t="s">
        <v>403</v>
      </c>
      <c r="L76" s="16" t="s">
        <v>404</v>
      </c>
      <c r="M76" s="17" t="s">
        <v>25</v>
      </c>
      <c r="N76" s="17"/>
      <c r="O76" s="21"/>
      <c r="P76" s="22"/>
      <c r="Q76" s="17" t="str">
        <f>IF(AND(D76="[1]sdružená investice",ISNUMBER(P76)),P76/O76*G76/1000000,"")</f>
        <v/>
      </c>
      <c r="R76" s="23" t="s">
        <v>405</v>
      </c>
      <c r="S76" s="24" t="s">
        <v>406</v>
      </c>
      <c r="T76" s="103" t="s">
        <v>407</v>
      </c>
      <c r="U76" s="39">
        <v>41281</v>
      </c>
    </row>
    <row r="77" spans="1:21" s="64" customFormat="1" ht="25.5" customHeight="1">
      <c r="A77" s="6">
        <v>125</v>
      </c>
      <c r="B77" s="29">
        <v>2004</v>
      </c>
      <c r="C77" s="30" t="s">
        <v>41</v>
      </c>
      <c r="D77" s="30" t="s">
        <v>44</v>
      </c>
      <c r="E77" s="30" t="s">
        <v>408</v>
      </c>
      <c r="F77" s="31">
        <v>0.13</v>
      </c>
      <c r="G77" s="32">
        <v>1153000</v>
      </c>
      <c r="H77" s="32"/>
      <c r="I77" s="33">
        <f>G77/F77/1000</f>
        <v>8869.23076923077</v>
      </c>
      <c r="J77" s="30" t="s">
        <v>181</v>
      </c>
      <c r="K77" s="30" t="s">
        <v>409</v>
      </c>
      <c r="L77" s="29">
        <v>2004</v>
      </c>
      <c r="M77" s="30" t="s">
        <v>25</v>
      </c>
      <c r="N77" s="30" t="s">
        <v>126</v>
      </c>
      <c r="O77" s="34" t="s">
        <v>125</v>
      </c>
      <c r="P77" s="40" t="s">
        <v>126</v>
      </c>
      <c r="Q77" s="40"/>
      <c r="R77" s="35" t="s">
        <v>125</v>
      </c>
      <c r="S77" s="36" t="s">
        <v>410</v>
      </c>
      <c r="T77" s="63" t="s">
        <v>411</v>
      </c>
      <c r="U77" s="38">
        <v>41278</v>
      </c>
    </row>
    <row r="78" spans="1:21" s="64" customFormat="1" ht="25.5" customHeight="1">
      <c r="A78" s="6">
        <v>124</v>
      </c>
      <c r="B78" s="29">
        <v>2003</v>
      </c>
      <c r="C78" s="30" t="s">
        <v>114</v>
      </c>
      <c r="D78" s="30" t="s">
        <v>62</v>
      </c>
      <c r="E78" s="30" t="s">
        <v>412</v>
      </c>
      <c r="F78" s="31">
        <v>0.078</v>
      </c>
      <c r="G78" s="32">
        <v>26213000</v>
      </c>
      <c r="H78" s="32"/>
      <c r="I78" s="32">
        <f>G78/F78/1000</f>
        <v>336064.102564103</v>
      </c>
      <c r="J78" s="30"/>
      <c r="K78" s="30"/>
      <c r="L78" s="29" t="s">
        <v>413</v>
      </c>
      <c r="M78" s="30" t="s">
        <v>341</v>
      </c>
      <c r="N78" s="30" t="s">
        <v>126</v>
      </c>
      <c r="O78" s="34" t="s">
        <v>125</v>
      </c>
      <c r="P78" s="40" t="s">
        <v>126</v>
      </c>
      <c r="Q78" s="40"/>
      <c r="R78" s="35" t="s">
        <v>125</v>
      </c>
      <c r="S78" s="36" t="s">
        <v>414</v>
      </c>
      <c r="T78" s="63" t="s">
        <v>415</v>
      </c>
      <c r="U78" s="38">
        <v>41278</v>
      </c>
    </row>
    <row r="79" spans="1:21" s="52" customFormat="1" ht="38.25" customHeight="1">
      <c r="A79" s="6">
        <v>123</v>
      </c>
      <c r="B79" s="16">
        <v>2002</v>
      </c>
      <c r="C79" s="17" t="s">
        <v>41</v>
      </c>
      <c r="D79" s="17" t="s">
        <v>32</v>
      </c>
      <c r="E79" s="17" t="s">
        <v>416</v>
      </c>
      <c r="F79" s="18">
        <v>0.9</v>
      </c>
      <c r="G79" s="20">
        <f>F79*I79*1000</f>
        <v>270000</v>
      </c>
      <c r="H79" s="60"/>
      <c r="I79" s="60">
        <v>300</v>
      </c>
      <c r="J79" s="17" t="s">
        <v>417</v>
      </c>
      <c r="K79" s="17" t="s">
        <v>418</v>
      </c>
      <c r="L79" s="16" t="s">
        <v>419</v>
      </c>
      <c r="M79" s="17" t="s">
        <v>54</v>
      </c>
      <c r="N79" s="17" t="s">
        <v>420</v>
      </c>
      <c r="O79" s="21">
        <v>55</v>
      </c>
      <c r="P79" s="22">
        <v>6</v>
      </c>
      <c r="Q79" s="22">
        <f>IF(AND(D79="[1]sdružená investice",ISNUMBER(P79)),P79/O79*G79/1000000,"")</f>
        <v>0.0294545454545455</v>
      </c>
      <c r="R79" s="23" t="s">
        <v>145</v>
      </c>
      <c r="S79" s="24" t="s">
        <v>421</v>
      </c>
      <c r="T79" s="25" t="s">
        <v>422</v>
      </c>
      <c r="U79" s="39">
        <v>41278</v>
      </c>
    </row>
    <row r="80" spans="1:21" s="64" customFormat="1" ht="25.5" customHeight="1">
      <c r="A80" s="6">
        <v>122</v>
      </c>
      <c r="B80" s="29">
        <v>2002</v>
      </c>
      <c r="C80" s="30" t="s">
        <v>61</v>
      </c>
      <c r="D80" s="30" t="s">
        <v>44</v>
      </c>
      <c r="E80" s="30" t="s">
        <v>423</v>
      </c>
      <c r="F80" s="31">
        <v>1.6</v>
      </c>
      <c r="G80" s="32">
        <v>2596000</v>
      </c>
      <c r="H80" s="33" t="s">
        <v>424</v>
      </c>
      <c r="I80" s="33">
        <f>G80/F80/1000</f>
        <v>1622.5</v>
      </c>
      <c r="J80" s="30" t="s">
        <v>425</v>
      </c>
      <c r="K80" s="30" t="s">
        <v>426</v>
      </c>
      <c r="L80" s="29" t="s">
        <v>413</v>
      </c>
      <c r="M80" s="30" t="s">
        <v>54</v>
      </c>
      <c r="N80" s="30" t="s">
        <v>126</v>
      </c>
      <c r="O80" s="34" t="s">
        <v>125</v>
      </c>
      <c r="P80" s="40" t="s">
        <v>126</v>
      </c>
      <c r="Q80" s="40"/>
      <c r="R80" s="35" t="s">
        <v>125</v>
      </c>
      <c r="S80" s="36" t="s">
        <v>427</v>
      </c>
      <c r="T80" s="63" t="s">
        <v>428</v>
      </c>
      <c r="U80" s="38">
        <v>41278</v>
      </c>
    </row>
    <row r="81" spans="1:21" s="79" customFormat="1" ht="38.25" customHeight="1">
      <c r="A81" s="6">
        <v>121</v>
      </c>
      <c r="B81" s="16">
        <v>2002</v>
      </c>
      <c r="C81" s="17" t="s">
        <v>26</v>
      </c>
      <c r="D81" s="17" t="s">
        <v>32</v>
      </c>
      <c r="E81" s="17" t="s">
        <v>429</v>
      </c>
      <c r="F81" s="18">
        <v>0.7</v>
      </c>
      <c r="G81" s="20">
        <f>F81*I81*1000</f>
        <v>1750000</v>
      </c>
      <c r="H81" s="60"/>
      <c r="I81" s="60">
        <v>2500</v>
      </c>
      <c r="J81" s="17" t="s">
        <v>430</v>
      </c>
      <c r="K81" s="17" t="s">
        <v>431</v>
      </c>
      <c r="L81" s="16" t="s">
        <v>432</v>
      </c>
      <c r="M81" s="17" t="s">
        <v>25</v>
      </c>
      <c r="N81" s="17" t="s">
        <v>433</v>
      </c>
      <c r="O81" s="21">
        <v>31.287</v>
      </c>
      <c r="P81" s="22" t="s">
        <v>126</v>
      </c>
      <c r="Q81" s="17" t="str">
        <f>IF(AND(D81="[1]sdružená investice",ISNUMBER(P81)),P81/O81*G81/1000000,"")</f>
        <v/>
      </c>
      <c r="R81" s="23" t="s">
        <v>125</v>
      </c>
      <c r="S81" s="24" t="s">
        <v>434</v>
      </c>
      <c r="T81" s="25" t="s">
        <v>435</v>
      </c>
      <c r="U81" s="39">
        <v>41278</v>
      </c>
    </row>
    <row r="82" spans="1:21" s="79" customFormat="1" ht="38.25" customHeight="1">
      <c r="A82" s="6">
        <v>120</v>
      </c>
      <c r="B82" s="16">
        <v>2001</v>
      </c>
      <c r="C82" s="17" t="s">
        <v>436</v>
      </c>
      <c r="D82" s="17" t="s">
        <v>32</v>
      </c>
      <c r="E82" s="17" t="s">
        <v>437</v>
      </c>
      <c r="F82" s="18">
        <v>0.7</v>
      </c>
      <c r="G82" s="20">
        <f>F82*I82*1000</f>
        <v>420000</v>
      </c>
      <c r="H82" s="60"/>
      <c r="I82" s="60">
        <v>600</v>
      </c>
      <c r="J82" s="17" t="s">
        <v>438</v>
      </c>
      <c r="K82" s="17" t="s">
        <v>439</v>
      </c>
      <c r="L82" s="16" t="s">
        <v>440</v>
      </c>
      <c r="M82" s="17" t="s">
        <v>25</v>
      </c>
      <c r="N82" s="17" t="s">
        <v>441</v>
      </c>
      <c r="O82" s="21">
        <v>109.979</v>
      </c>
      <c r="P82" s="22" t="s">
        <v>126</v>
      </c>
      <c r="Q82" s="17" t="str">
        <f>IF(AND(D82="[1]sdružená investice",ISNUMBER(P82)),P82/O82*G82/1000000,"")</f>
        <v/>
      </c>
      <c r="R82" s="23" t="s">
        <v>125</v>
      </c>
      <c r="S82" s="24" t="s">
        <v>442</v>
      </c>
      <c r="T82" s="25" t="s">
        <v>443</v>
      </c>
      <c r="U82" s="39">
        <v>41278</v>
      </c>
    </row>
    <row r="83" spans="1:21" s="52" customFormat="1" ht="38.25" customHeight="1">
      <c r="A83" s="6">
        <v>119</v>
      </c>
      <c r="B83" s="16">
        <v>2001</v>
      </c>
      <c r="C83" s="17" t="s">
        <v>41</v>
      </c>
      <c r="D83" s="17" t="s">
        <v>32</v>
      </c>
      <c r="E83" s="17" t="s">
        <v>444</v>
      </c>
      <c r="F83" s="18">
        <v>0.7</v>
      </c>
      <c r="G83" s="20">
        <f>F83*I83*1000</f>
        <v>1750000</v>
      </c>
      <c r="H83" s="60"/>
      <c r="I83" s="60">
        <v>2500</v>
      </c>
      <c r="J83" s="17" t="s">
        <v>181</v>
      </c>
      <c r="K83" s="17" t="s">
        <v>445</v>
      </c>
      <c r="L83" s="17" t="s">
        <v>446</v>
      </c>
      <c r="M83" s="17" t="s">
        <v>54</v>
      </c>
      <c r="N83" s="17" t="s">
        <v>447</v>
      </c>
      <c r="O83" s="21">
        <v>86.942</v>
      </c>
      <c r="P83" s="22" t="s">
        <v>126</v>
      </c>
      <c r="Q83" s="17" t="str">
        <f>IF(AND(D83="[1]sdružená investice",ISNUMBER(P83)),P83/O83*G83/1000000,"")</f>
        <v/>
      </c>
      <c r="R83" s="23" t="s">
        <v>125</v>
      </c>
      <c r="S83" s="24" t="s">
        <v>448</v>
      </c>
      <c r="T83" s="25" t="s">
        <v>449</v>
      </c>
      <c r="U83" s="39">
        <v>41278</v>
      </c>
    </row>
    <row r="84" spans="1:21" s="64" customFormat="1" ht="51" customHeight="1">
      <c r="A84" s="6">
        <v>118</v>
      </c>
      <c r="B84" s="29">
        <v>2001</v>
      </c>
      <c r="C84" s="30" t="s">
        <v>76</v>
      </c>
      <c r="D84" s="30" t="s">
        <v>44</v>
      </c>
      <c r="E84" s="30" t="s">
        <v>227</v>
      </c>
      <c r="F84" s="31">
        <v>0.66</v>
      </c>
      <c r="G84" s="32">
        <f>1827000+749000</f>
        <v>2576000</v>
      </c>
      <c r="H84" s="30" t="s">
        <v>255</v>
      </c>
      <c r="I84" s="33">
        <f>G84/F84/1000</f>
        <v>3903.0303030303</v>
      </c>
      <c r="J84" s="30" t="s">
        <v>450</v>
      </c>
      <c r="K84" s="30" t="s">
        <v>451</v>
      </c>
      <c r="L84" s="30" t="s">
        <v>440</v>
      </c>
      <c r="M84" s="30" t="s">
        <v>25</v>
      </c>
      <c r="N84" s="30" t="s">
        <v>452</v>
      </c>
      <c r="O84" s="34" t="s">
        <v>125</v>
      </c>
      <c r="P84" s="40" t="s">
        <v>126</v>
      </c>
      <c r="Q84" s="40"/>
      <c r="R84" s="35" t="s">
        <v>125</v>
      </c>
      <c r="S84" s="36" t="s">
        <v>453</v>
      </c>
      <c r="T84" s="37"/>
      <c r="U84" s="38">
        <v>41282</v>
      </c>
    </row>
    <row r="85" spans="1:21" s="64" customFormat="1" ht="38.25" customHeight="1">
      <c r="A85" s="6">
        <v>117</v>
      </c>
      <c r="B85" s="29">
        <v>2000</v>
      </c>
      <c r="C85" s="30" t="s">
        <v>61</v>
      </c>
      <c r="D85" s="30" t="s">
        <v>44</v>
      </c>
      <c r="E85" s="30" t="s">
        <v>454</v>
      </c>
      <c r="F85" s="31">
        <v>1.54</v>
      </c>
      <c r="G85" s="32">
        <v>2649000</v>
      </c>
      <c r="H85" s="32" t="s">
        <v>455</v>
      </c>
      <c r="I85" s="33">
        <f>G85/F85/1000</f>
        <v>1720.12987012987</v>
      </c>
      <c r="J85" s="30" t="s">
        <v>456</v>
      </c>
      <c r="K85" s="30" t="s">
        <v>457</v>
      </c>
      <c r="L85" s="30">
        <v>2000</v>
      </c>
      <c r="M85" s="30" t="s">
        <v>54</v>
      </c>
      <c r="N85" s="30" t="s">
        <v>458</v>
      </c>
      <c r="O85" s="34" t="s">
        <v>125</v>
      </c>
      <c r="P85" s="104" t="s">
        <v>126</v>
      </c>
      <c r="Q85" s="104"/>
      <c r="R85" s="35" t="s">
        <v>125</v>
      </c>
      <c r="S85" s="36" t="s">
        <v>459</v>
      </c>
      <c r="T85" s="62" t="s">
        <v>460</v>
      </c>
      <c r="U85" s="38">
        <v>41281</v>
      </c>
    </row>
    <row r="86" spans="1:21" s="64" customFormat="1" ht="38.25" customHeight="1">
      <c r="A86" s="6">
        <v>116</v>
      </c>
      <c r="B86" s="29">
        <v>2000</v>
      </c>
      <c r="C86" s="30" t="s">
        <v>199</v>
      </c>
      <c r="D86" s="30" t="s">
        <v>44</v>
      </c>
      <c r="E86" s="30" t="s">
        <v>461</v>
      </c>
      <c r="F86" s="31">
        <v>0.05</v>
      </c>
      <c r="G86" s="32">
        <v>2596000</v>
      </c>
      <c r="H86" s="32"/>
      <c r="I86" s="33">
        <f>G86/F86/1000</f>
        <v>51920</v>
      </c>
      <c r="J86" s="30" t="s">
        <v>462</v>
      </c>
      <c r="K86" s="30" t="s">
        <v>463</v>
      </c>
      <c r="L86" s="29" t="s">
        <v>464</v>
      </c>
      <c r="M86" s="30" t="s">
        <v>54</v>
      </c>
      <c r="N86" s="30" t="s">
        <v>126</v>
      </c>
      <c r="O86" s="34" t="s">
        <v>125</v>
      </c>
      <c r="P86" s="40" t="s">
        <v>126</v>
      </c>
      <c r="Q86" s="40"/>
      <c r="R86" s="35" t="s">
        <v>125</v>
      </c>
      <c r="S86" s="36" t="s">
        <v>465</v>
      </c>
      <c r="T86" s="62" t="s">
        <v>466</v>
      </c>
      <c r="U86" s="38">
        <v>41278</v>
      </c>
    </row>
    <row r="87" spans="1:21" s="64" customFormat="1" ht="51" customHeight="1">
      <c r="A87" s="6">
        <v>115</v>
      </c>
      <c r="B87" s="29">
        <v>2000</v>
      </c>
      <c r="C87" s="30" t="s">
        <v>61</v>
      </c>
      <c r="D87" s="30" t="s">
        <v>44</v>
      </c>
      <c r="E87" s="30" t="s">
        <v>467</v>
      </c>
      <c r="F87" s="31">
        <v>1.3</v>
      </c>
      <c r="G87" s="74">
        <v>3000000</v>
      </c>
      <c r="H87" s="30" t="s">
        <v>468</v>
      </c>
      <c r="I87" s="33">
        <f>G87/F87/1000</f>
        <v>2307.69230769231</v>
      </c>
      <c r="J87" s="30" t="s">
        <v>425</v>
      </c>
      <c r="K87" s="30" t="s">
        <v>469</v>
      </c>
      <c r="L87" s="29">
        <v>2000</v>
      </c>
      <c r="M87" s="30" t="s">
        <v>54</v>
      </c>
      <c r="N87" s="30" t="s">
        <v>470</v>
      </c>
      <c r="O87" s="34" t="s">
        <v>125</v>
      </c>
      <c r="P87" s="40">
        <f>G87/1000000</f>
        <v>3</v>
      </c>
      <c r="Q87" s="104"/>
      <c r="R87" s="35" t="s">
        <v>471</v>
      </c>
      <c r="S87" s="36"/>
      <c r="T87" s="62" t="s">
        <v>472</v>
      </c>
      <c r="U87" s="38">
        <v>41285</v>
      </c>
    </row>
    <row r="88" spans="1:21" s="64" customFormat="1" ht="51" customHeight="1">
      <c r="A88" s="6">
        <v>114</v>
      </c>
      <c r="B88" s="29">
        <v>2000</v>
      </c>
      <c r="C88" s="30" t="s">
        <v>61</v>
      </c>
      <c r="D88" s="30" t="s">
        <v>44</v>
      </c>
      <c r="E88" s="30" t="s">
        <v>473</v>
      </c>
      <c r="F88" s="31">
        <v>2</v>
      </c>
      <c r="G88" s="74">
        <v>4600000</v>
      </c>
      <c r="H88" s="30"/>
      <c r="I88" s="33">
        <f>G88/F88/1000</f>
        <v>2300</v>
      </c>
      <c r="J88" s="30" t="s">
        <v>425</v>
      </c>
      <c r="K88" s="30" t="s">
        <v>474</v>
      </c>
      <c r="L88" s="29">
        <v>2000</v>
      </c>
      <c r="M88" s="30" t="s">
        <v>54</v>
      </c>
      <c r="N88" s="30"/>
      <c r="O88" s="34"/>
      <c r="P88" s="40">
        <v>4.6</v>
      </c>
      <c r="Q88" s="104"/>
      <c r="R88" s="35" t="s">
        <v>471</v>
      </c>
      <c r="S88" s="36"/>
      <c r="T88" s="62" t="s">
        <v>475</v>
      </c>
      <c r="U88" s="38"/>
    </row>
    <row r="89" spans="1:21" s="64" customFormat="1" ht="63.75" customHeight="1">
      <c r="A89" s="6">
        <v>113</v>
      </c>
      <c r="B89" s="29">
        <v>1999</v>
      </c>
      <c r="C89" s="30" t="s">
        <v>41</v>
      </c>
      <c r="D89" s="30" t="s">
        <v>44</v>
      </c>
      <c r="E89" s="30" t="s">
        <v>476</v>
      </c>
      <c r="F89" s="31">
        <v>0.9</v>
      </c>
      <c r="G89" s="32">
        <v>3000000</v>
      </c>
      <c r="H89" s="32" t="s">
        <v>477</v>
      </c>
      <c r="I89" s="33">
        <f>G89/F89/1000</f>
        <v>3333.33333333333</v>
      </c>
      <c r="J89" s="30" t="s">
        <v>181</v>
      </c>
      <c r="K89" s="30" t="s">
        <v>478</v>
      </c>
      <c r="L89" s="29"/>
      <c r="M89" s="30" t="s">
        <v>54</v>
      </c>
      <c r="N89" s="30" t="s">
        <v>479</v>
      </c>
      <c r="O89" s="34" t="s">
        <v>125</v>
      </c>
      <c r="P89" s="40"/>
      <c r="Q89" s="40"/>
      <c r="R89" s="35" t="s">
        <v>125</v>
      </c>
      <c r="S89" s="36" t="s">
        <v>480</v>
      </c>
      <c r="T89" s="62" t="s">
        <v>481</v>
      </c>
      <c r="U89" s="38">
        <v>41278</v>
      </c>
    </row>
    <row r="90" spans="1:21" s="79" customFormat="1" ht="25.35" customHeight="1">
      <c r="A90" s="6">
        <v>112</v>
      </c>
      <c r="B90" s="23">
        <v>1999</v>
      </c>
      <c r="C90" s="17" t="s">
        <v>50</v>
      </c>
      <c r="D90" s="17" t="s">
        <v>32</v>
      </c>
      <c r="E90" s="17" t="s">
        <v>482</v>
      </c>
      <c r="F90" s="105">
        <v>0.85</v>
      </c>
      <c r="G90" s="20">
        <f>F90*I90*1000</f>
        <v>2125000</v>
      </c>
      <c r="H90" s="20" t="s">
        <v>483</v>
      </c>
      <c r="I90" s="60">
        <v>2500</v>
      </c>
      <c r="J90" s="17" t="s">
        <v>484</v>
      </c>
      <c r="K90" s="17" t="s">
        <v>485</v>
      </c>
      <c r="L90" s="23" t="s">
        <v>486</v>
      </c>
      <c r="M90" s="17" t="s">
        <v>25</v>
      </c>
      <c r="N90" s="17" t="s">
        <v>487</v>
      </c>
      <c r="O90" s="21" t="s">
        <v>223</v>
      </c>
      <c r="P90" s="22"/>
      <c r="Q90" s="17" t="str">
        <f>IF(AND(D90="[1]sdružená investice",ISNUMBER(P90)),P90/O90*G90/1000000,"")</f>
        <v/>
      </c>
      <c r="R90" s="23" t="s">
        <v>223</v>
      </c>
      <c r="S90" s="24"/>
      <c r="T90" s="25" t="s">
        <v>488</v>
      </c>
      <c r="U90" s="106"/>
    </row>
    <row r="91" spans="1:21" s="64" customFormat="1" ht="25.5" customHeight="1">
      <c r="A91" s="6">
        <v>111</v>
      </c>
      <c r="B91" s="29">
        <v>1998</v>
      </c>
      <c r="C91" s="30" t="s">
        <v>41</v>
      </c>
      <c r="D91" s="30" t="s">
        <v>44</v>
      </c>
      <c r="E91" s="30" t="s">
        <v>489</v>
      </c>
      <c r="F91" s="31">
        <v>0.6</v>
      </c>
      <c r="G91" s="32">
        <f>F91*I91*1000</f>
        <v>2100000</v>
      </c>
      <c r="H91" s="107"/>
      <c r="I91" s="107">
        <v>3500</v>
      </c>
      <c r="J91" s="30" t="s">
        <v>490</v>
      </c>
      <c r="K91" s="30" t="s">
        <v>491</v>
      </c>
      <c r="L91" s="29"/>
      <c r="M91" s="30" t="s">
        <v>54</v>
      </c>
      <c r="N91" s="30" t="s">
        <v>126</v>
      </c>
      <c r="O91" s="34" t="s">
        <v>125</v>
      </c>
      <c r="P91" s="40"/>
      <c r="Q91" s="40"/>
      <c r="R91" s="35" t="s">
        <v>125</v>
      </c>
      <c r="S91" s="36" t="s">
        <v>492</v>
      </c>
      <c r="T91" s="63" t="s">
        <v>493</v>
      </c>
      <c r="U91" s="38">
        <v>41260</v>
      </c>
    </row>
    <row r="92" spans="1:21" s="64" customFormat="1" ht="38.25" customHeight="1">
      <c r="A92" s="6">
        <v>110</v>
      </c>
      <c r="B92" s="29">
        <v>1998</v>
      </c>
      <c r="C92" s="30" t="s">
        <v>41</v>
      </c>
      <c r="D92" s="30" t="s">
        <v>44</v>
      </c>
      <c r="E92" s="30" t="s">
        <v>494</v>
      </c>
      <c r="F92" s="31">
        <v>2.5</v>
      </c>
      <c r="G92" s="32">
        <f>F92*I92*1000</f>
        <v>7500000</v>
      </c>
      <c r="H92" s="32" t="s">
        <v>477</v>
      </c>
      <c r="I92" s="107">
        <v>3000</v>
      </c>
      <c r="J92" s="30" t="s">
        <v>158</v>
      </c>
      <c r="K92" s="30" t="s">
        <v>495</v>
      </c>
      <c r="L92" s="29" t="s">
        <v>496</v>
      </c>
      <c r="M92" s="30" t="s">
        <v>54</v>
      </c>
      <c r="N92" s="30" t="s">
        <v>497</v>
      </c>
      <c r="O92" s="34" t="s">
        <v>125</v>
      </c>
      <c r="P92" s="40"/>
      <c r="Q92" s="40"/>
      <c r="R92" s="35" t="s">
        <v>223</v>
      </c>
      <c r="S92" s="108" t="s">
        <v>498</v>
      </c>
      <c r="T92" s="63" t="s">
        <v>499</v>
      </c>
      <c r="U92" s="38">
        <v>41261</v>
      </c>
    </row>
    <row r="93" spans="1:21" s="79" customFormat="1" ht="25.5" customHeight="1">
      <c r="A93" s="6">
        <v>109</v>
      </c>
      <c r="B93" s="23">
        <v>1998</v>
      </c>
      <c r="C93" s="17" t="s">
        <v>41</v>
      </c>
      <c r="D93" s="17" t="s">
        <v>32</v>
      </c>
      <c r="E93" s="17" t="s">
        <v>500</v>
      </c>
      <c r="F93" s="105">
        <v>0.25</v>
      </c>
      <c r="G93" s="20">
        <f>F93*I93*1000</f>
        <v>75000</v>
      </c>
      <c r="H93" s="60"/>
      <c r="I93" s="60">
        <v>300</v>
      </c>
      <c r="J93" s="17" t="s">
        <v>181</v>
      </c>
      <c r="K93" s="17" t="s">
        <v>501</v>
      </c>
      <c r="L93" s="23"/>
      <c r="M93" s="17" t="s">
        <v>25</v>
      </c>
      <c r="N93" s="17" t="s">
        <v>502</v>
      </c>
      <c r="O93" s="21">
        <v>2</v>
      </c>
      <c r="P93" s="22"/>
      <c r="Q93" s="17" t="str">
        <f>IF(AND(D93="[1]sdružená investice",ISNUMBER(P93)),P93/O93*G93/1000000,"")</f>
        <v/>
      </c>
      <c r="R93" s="23" t="s">
        <v>223</v>
      </c>
      <c r="S93" s="24" t="s">
        <v>503</v>
      </c>
      <c r="T93" s="25" t="s">
        <v>504</v>
      </c>
      <c r="U93" s="106">
        <v>41262</v>
      </c>
    </row>
    <row r="94" spans="1:21" s="79" customFormat="1" ht="25.5" customHeight="1">
      <c r="A94" s="6">
        <v>108</v>
      </c>
      <c r="B94" s="23">
        <v>1998</v>
      </c>
      <c r="C94" s="17" t="s">
        <v>505</v>
      </c>
      <c r="D94" s="17" t="s">
        <v>32</v>
      </c>
      <c r="E94" s="17" t="s">
        <v>506</v>
      </c>
      <c r="F94" s="105">
        <v>0.5</v>
      </c>
      <c r="G94" s="20">
        <v>1250000</v>
      </c>
      <c r="H94" s="60"/>
      <c r="I94" s="60">
        <v>2500</v>
      </c>
      <c r="J94" s="17" t="s">
        <v>181</v>
      </c>
      <c r="K94" s="17" t="s">
        <v>507</v>
      </c>
      <c r="L94" s="23"/>
      <c r="M94" s="17" t="s">
        <v>54</v>
      </c>
      <c r="N94" s="17" t="s">
        <v>508</v>
      </c>
      <c r="O94" s="21"/>
      <c r="P94" s="22"/>
      <c r="Q94" s="17"/>
      <c r="R94" s="23"/>
      <c r="S94" s="24"/>
      <c r="T94" s="25"/>
      <c r="U94" s="106">
        <v>43007</v>
      </c>
    </row>
    <row r="95" spans="1:21" s="79" customFormat="1" ht="25.5" customHeight="1">
      <c r="A95" s="6">
        <v>107</v>
      </c>
      <c r="B95" s="23">
        <f>1997</f>
        <v>1997</v>
      </c>
      <c r="C95" s="17" t="s">
        <v>76</v>
      </c>
      <c r="D95" s="17" t="s">
        <v>32</v>
      </c>
      <c r="E95" s="17" t="s">
        <v>509</v>
      </c>
      <c r="F95" s="105">
        <v>0.5</v>
      </c>
      <c r="G95" s="20">
        <f>F95*I95*1000</f>
        <v>1250000</v>
      </c>
      <c r="H95" s="60"/>
      <c r="I95" s="60">
        <v>2500</v>
      </c>
      <c r="J95" s="17" t="s">
        <v>510</v>
      </c>
      <c r="K95" s="17" t="s">
        <v>511</v>
      </c>
      <c r="L95" s="23"/>
      <c r="M95" s="17" t="s">
        <v>25</v>
      </c>
      <c r="N95" s="17" t="s">
        <v>512</v>
      </c>
      <c r="O95" s="21"/>
      <c r="P95" s="22"/>
      <c r="Q95" s="17" t="str">
        <f>IF(AND(D95="[1]sdružená investice",ISNUMBER(P95)),P95/O95*G95/1000000,"")</f>
        <v/>
      </c>
      <c r="R95" s="23"/>
      <c r="S95" s="24"/>
      <c r="T95" s="25"/>
      <c r="U95" s="106">
        <v>41287</v>
      </c>
    </row>
    <row r="96" spans="1:21" s="64" customFormat="1" ht="25.5" customHeight="1">
      <c r="A96" s="6">
        <v>106</v>
      </c>
      <c r="B96" s="29">
        <v>1997</v>
      </c>
      <c r="C96" s="30" t="s">
        <v>41</v>
      </c>
      <c r="D96" s="30" t="s">
        <v>44</v>
      </c>
      <c r="E96" s="30" t="s">
        <v>513</v>
      </c>
      <c r="F96" s="31">
        <v>2.1</v>
      </c>
      <c r="G96" s="32">
        <f>F96*I96*1000</f>
        <v>5250000</v>
      </c>
      <c r="H96" s="30" t="s">
        <v>514</v>
      </c>
      <c r="I96" s="107">
        <v>2500</v>
      </c>
      <c r="J96" s="30" t="s">
        <v>515</v>
      </c>
      <c r="K96" s="30" t="s">
        <v>516</v>
      </c>
      <c r="L96" s="29" t="s">
        <v>517</v>
      </c>
      <c r="M96" s="30" t="s">
        <v>25</v>
      </c>
      <c r="N96" s="30" t="s">
        <v>518</v>
      </c>
      <c r="O96" s="34"/>
      <c r="P96" s="40"/>
      <c r="Q96" s="40"/>
      <c r="R96" s="35" t="s">
        <v>223</v>
      </c>
      <c r="S96" s="36" t="s">
        <v>519</v>
      </c>
      <c r="T96" s="63" t="s">
        <v>520</v>
      </c>
      <c r="U96" s="38">
        <v>41262</v>
      </c>
    </row>
    <row r="97" spans="1:21" s="64" customFormat="1" ht="51" customHeight="1">
      <c r="A97" s="6">
        <v>105</v>
      </c>
      <c r="B97" s="29">
        <f>1997</f>
        <v>1997</v>
      </c>
      <c r="C97" s="30" t="s">
        <v>41</v>
      </c>
      <c r="D97" s="30" t="s">
        <v>44</v>
      </c>
      <c r="E97" s="30" t="s">
        <v>521</v>
      </c>
      <c r="F97" s="31">
        <v>1.178</v>
      </c>
      <c r="G97" s="32">
        <f>F97*I97*1000</f>
        <v>3534000</v>
      </c>
      <c r="H97" s="30" t="s">
        <v>522</v>
      </c>
      <c r="I97" s="107">
        <v>3000</v>
      </c>
      <c r="J97" s="30" t="s">
        <v>181</v>
      </c>
      <c r="K97" s="30" t="s">
        <v>523</v>
      </c>
      <c r="L97" s="29" t="s">
        <v>517</v>
      </c>
      <c r="M97" s="30" t="s">
        <v>54</v>
      </c>
      <c r="N97" s="30" t="s">
        <v>524</v>
      </c>
      <c r="O97" s="34"/>
      <c r="P97" s="40"/>
      <c r="Q97" s="40"/>
      <c r="R97" s="35" t="s">
        <v>223</v>
      </c>
      <c r="S97" s="36" t="s">
        <v>525</v>
      </c>
      <c r="T97" s="62" t="s">
        <v>526</v>
      </c>
      <c r="U97" s="38">
        <v>41282</v>
      </c>
    </row>
    <row r="98" spans="1:21" s="64" customFormat="1" ht="25.5" customHeight="1">
      <c r="A98" s="6">
        <v>104</v>
      </c>
      <c r="B98" s="29">
        <f>1996</f>
        <v>1996</v>
      </c>
      <c r="C98" s="30" t="s">
        <v>41</v>
      </c>
      <c r="D98" s="30" t="s">
        <v>44</v>
      </c>
      <c r="E98" s="30" t="s">
        <v>527</v>
      </c>
      <c r="F98" s="31">
        <v>0.53</v>
      </c>
      <c r="G98" s="32">
        <f>F98*I98*1000</f>
        <v>1590000</v>
      </c>
      <c r="H98" s="30"/>
      <c r="I98" s="107">
        <v>3000</v>
      </c>
      <c r="J98" s="30" t="s">
        <v>181</v>
      </c>
      <c r="K98" s="30" t="s">
        <v>528</v>
      </c>
      <c r="L98" s="29"/>
      <c r="M98" s="30" t="s">
        <v>54</v>
      </c>
      <c r="N98" s="30"/>
      <c r="O98" s="34"/>
      <c r="P98" s="40"/>
      <c r="Q98" s="40"/>
      <c r="R98" s="35"/>
      <c r="S98" s="36"/>
      <c r="T98" s="37"/>
      <c r="U98" s="38">
        <v>41292</v>
      </c>
    </row>
    <row r="99" spans="1:21" s="64" customFormat="1" ht="25.5" customHeight="1">
      <c r="A99" s="6">
        <v>103</v>
      </c>
      <c r="B99" s="29">
        <f>1995</f>
        <v>1995</v>
      </c>
      <c r="C99" s="30" t="s">
        <v>41</v>
      </c>
      <c r="D99" s="30" t="s">
        <v>44</v>
      </c>
      <c r="E99" s="30" t="s">
        <v>529</v>
      </c>
      <c r="F99" s="31">
        <v>1</v>
      </c>
      <c r="G99" s="32">
        <f>F99*I99*1000</f>
        <v>3000000</v>
      </c>
      <c r="H99" s="30"/>
      <c r="I99" s="107">
        <v>3000</v>
      </c>
      <c r="J99" s="30" t="s">
        <v>181</v>
      </c>
      <c r="K99" s="30" t="s">
        <v>530</v>
      </c>
      <c r="L99" s="29"/>
      <c r="M99" s="30" t="s">
        <v>54</v>
      </c>
      <c r="N99" s="30"/>
      <c r="O99" s="34"/>
      <c r="P99" s="40"/>
      <c r="Q99" s="40"/>
      <c r="R99" s="35"/>
      <c r="S99" s="36"/>
      <c r="T99" s="37"/>
      <c r="U99" s="38">
        <v>41292</v>
      </c>
    </row>
    <row r="100" spans="1:21" ht="25.5" customHeight="1">
      <c r="A100" s="6">
        <v>102</v>
      </c>
      <c r="B100" s="23">
        <f>1994</f>
        <v>1994</v>
      </c>
      <c r="C100" s="17" t="s">
        <v>41</v>
      </c>
      <c r="D100" s="17" t="s">
        <v>32</v>
      </c>
      <c r="E100" s="17" t="s">
        <v>531</v>
      </c>
      <c r="F100" s="105">
        <v>0.5</v>
      </c>
      <c r="G100" s="20">
        <f>F100*I100*1000</f>
        <v>1500000</v>
      </c>
      <c r="H100" s="60"/>
      <c r="I100" s="60">
        <v>3000</v>
      </c>
      <c r="J100" s="17" t="s">
        <v>181</v>
      </c>
      <c r="K100" s="17" t="s">
        <v>532</v>
      </c>
      <c r="L100" s="23"/>
      <c r="M100" s="17" t="s">
        <v>25</v>
      </c>
      <c r="N100" s="17" t="s">
        <v>533</v>
      </c>
      <c r="O100" s="21"/>
      <c r="P100" s="22"/>
      <c r="Q100" s="17" t="str">
        <f>IF(AND(D100="[1]sdružená investice",ISNUMBER(P100)),P100/O100*G100/1000000,"")</f>
        <v/>
      </c>
      <c r="R100" s="23" t="s">
        <v>223</v>
      </c>
      <c r="S100" s="24" t="s">
        <v>534</v>
      </c>
      <c r="T100" s="25"/>
      <c r="U100" s="39">
        <v>41281</v>
      </c>
    </row>
    <row r="101" spans="1:21" s="59" customFormat="1" ht="25.35" customHeight="1">
      <c r="A101" s="6">
        <v>101</v>
      </c>
      <c r="B101" s="54">
        <f>1993</f>
        <v>1993</v>
      </c>
      <c r="C101" s="9" t="s">
        <v>50</v>
      </c>
      <c r="D101" s="9" t="s">
        <v>22</v>
      </c>
      <c r="E101" s="9" t="s">
        <v>535</v>
      </c>
      <c r="F101" s="10">
        <v>1.4</v>
      </c>
      <c r="G101" s="11">
        <f>F101*I101*1000</f>
        <v>420000</v>
      </c>
      <c r="H101" s="9"/>
      <c r="I101" s="77">
        <v>300</v>
      </c>
      <c r="J101" s="9" t="s">
        <v>536</v>
      </c>
      <c r="K101" s="9" t="s">
        <v>188</v>
      </c>
      <c r="L101" s="54"/>
      <c r="M101" s="9" t="s">
        <v>25</v>
      </c>
      <c r="N101" s="9" t="s">
        <v>126</v>
      </c>
      <c r="O101" s="55" t="s">
        <v>125</v>
      </c>
      <c r="P101" s="109" t="s">
        <v>126</v>
      </c>
      <c r="Q101" s="109"/>
      <c r="R101" s="56" t="s">
        <v>125</v>
      </c>
      <c r="S101" s="57" t="s">
        <v>190</v>
      </c>
      <c r="T101" s="8"/>
      <c r="U101" s="58">
        <v>41289</v>
      </c>
    </row>
    <row r="103" ht="14.65" customHeight="1"/>
    <row r="1048574" ht="12.8" customHeight="1"/>
    <row r="1048575" ht="12.8" customHeight="1"/>
    <row r="1048576" ht="12.8" customHeight="1"/>
  </sheetData>
  <autoFilter ref="A1:U101"/>
  <hyperlinks>
    <hyperlink ref="T20" r:id="rId1" display="http://www.brnoviden.cz/O-nas/Dostavba-bezpecnych-useku.aspx"/>
  </hyperlinks>
  <printOptions/>
  <pageMargins left="0.168055555555556" right="0.06875" top="0.20625" bottom="0.19375" header="0.511805555555555" footer="0.511805555555555"/>
  <pageSetup horizontalDpi="300" verticalDpi="300" orientation="landscape" paperSize="8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5.28125" style="0" customWidth="1"/>
    <col min="2" max="2" width="9.00390625" style="0" customWidth="1"/>
    <col min="3" max="3" width="13.00390625" style="0" customWidth="1"/>
    <col min="4" max="4" width="13.7109375" style="0" customWidth="1"/>
    <col min="5" max="5" width="12.7109375" style="0" customWidth="1"/>
    <col min="6" max="9" width="13.7109375" style="0" customWidth="1"/>
    <col min="10" max="11" width="14.7109375" style="0" customWidth="1"/>
    <col min="12" max="14" width="13.7109375" style="0" customWidth="1"/>
    <col min="15" max="15" width="10.28125" style="0" customWidth="1"/>
    <col min="16" max="17" width="9.00390625" style="0" customWidth="1"/>
    <col min="18" max="18" width="12.57421875" style="0" customWidth="1"/>
    <col min="19" max="19" width="13.57421875" style="0" customWidth="1"/>
    <col min="20" max="20" width="13.28125" style="0" customWidth="1"/>
    <col min="21" max="21" width="12.57421875" style="0" customWidth="1"/>
    <col min="22" max="22" width="13.57421875" style="0" customWidth="1"/>
    <col min="23" max="1025" width="9.00390625" style="0" customWidth="1"/>
  </cols>
  <sheetData>
    <row r="1" spans="1:15" s="1" customFormat="1" ht="15.75" customHeight="1">
      <c r="A1" s="110" t="s">
        <v>537</v>
      </c>
      <c r="B1" s="111"/>
      <c r="C1" s="112"/>
      <c r="D1" s="112"/>
      <c r="E1" s="112"/>
      <c r="F1" s="112"/>
      <c r="G1" s="111"/>
      <c r="H1" s="112"/>
      <c r="I1" s="113"/>
      <c r="J1" s="113"/>
      <c r="K1" s="111"/>
      <c r="L1" s="111"/>
      <c r="M1" s="111"/>
      <c r="N1" s="111"/>
      <c r="O1" s="111"/>
    </row>
    <row r="2" spans="1:19" s="1" customFormat="1" ht="48" customHeight="1">
      <c r="A2" s="114" t="s">
        <v>538</v>
      </c>
      <c r="B2" s="114" t="s">
        <v>539</v>
      </c>
      <c r="C2" s="115" t="s">
        <v>32</v>
      </c>
      <c r="D2" s="115" t="s">
        <v>44</v>
      </c>
      <c r="E2" s="115" t="s">
        <v>22</v>
      </c>
      <c r="F2" s="115" t="s">
        <v>98</v>
      </c>
      <c r="G2" s="114" t="s">
        <v>540</v>
      </c>
      <c r="H2" s="115" t="s">
        <v>541</v>
      </c>
      <c r="I2" s="115" t="s">
        <v>542</v>
      </c>
      <c r="J2" s="115" t="s">
        <v>543</v>
      </c>
      <c r="K2" s="116" t="s">
        <v>544</v>
      </c>
      <c r="L2" s="114" t="s">
        <v>545</v>
      </c>
      <c r="M2" s="114" t="s">
        <v>25</v>
      </c>
      <c r="N2" s="114" t="s">
        <v>54</v>
      </c>
      <c r="O2" s="114" t="s">
        <v>25</v>
      </c>
      <c r="P2" s="114" t="s">
        <v>54</v>
      </c>
      <c r="Q2" s="114" t="s">
        <v>539</v>
      </c>
      <c r="R2" s="114" t="s">
        <v>25</v>
      </c>
      <c r="S2" s="114" t="s">
        <v>54</v>
      </c>
    </row>
    <row r="3" spans="1:19" ht="14.65" customHeight="1">
      <c r="A3" s="117" t="s">
        <v>546</v>
      </c>
      <c r="B3" s="118">
        <v>1990</v>
      </c>
      <c r="C3" s="119">
        <f>SUMPRODUCT(investice!$B:$B=$B3,investice!$D:$D=C$2,investice!$G:$G)/pomocne_tabulky!$C3</f>
        <v>0</v>
      </c>
      <c r="D3" s="119">
        <f>SUMPRODUCT(investice!$B:$B=$B3,investice!$D:$D=D$2,investice!$G:$G)/pomocne_tabulky!$C3</f>
        <v>0</v>
      </c>
      <c r="E3" s="119">
        <f>SUMPRODUCT(investice!$B:$B=$B3,investice!$D:$D=E$2,investice!$G:$G)/pomocne_tabulky!$C3</f>
        <v>0</v>
      </c>
      <c r="F3" s="119">
        <f>SUMPRODUCT(investice!$B:$B=$B3,investice!$D:$D=F$2,investice!$G:$G)/pomocne_tabulky!$C3</f>
        <v>0</v>
      </c>
      <c r="G3" s="119">
        <f>SUM(C3:E3)</f>
        <v>0</v>
      </c>
      <c r="H3" s="119">
        <f>SUMPRODUCT(investice!$B:$B=$B3,investice!$D:$D=C$2,investice!$Q:$Q)*1000000/pomocne_tabulky!$C3</f>
        <v>0</v>
      </c>
      <c r="I3" s="119">
        <f>SUMPRODUCT(investice!$B:$B=$B3,investice!$D:$D=D$2,investice!$P:$P)*1000000/pomocne_tabulky!$C3</f>
        <v>0</v>
      </c>
      <c r="J3" s="119">
        <f>H3+I3</f>
        <v>0</v>
      </c>
      <c r="K3" s="119">
        <f>G3-I3-H3</f>
        <v>0</v>
      </c>
      <c r="L3" s="120">
        <f>SUMPRODUCT(investice!$B:$B=$B3,investice!$F:$F)</f>
        <v>0</v>
      </c>
      <c r="M3" s="121">
        <f>SUMPRODUCT(investice!$B:$B=$B3,investice!$M:$M=M$2,investice!$G:$G)/pomocne_tabulky!$C3</f>
        <v>0</v>
      </c>
      <c r="N3" s="121">
        <f>SUMPRODUCT(investice!$B:$B=$B3,investice!$M:$M=N$2,investice!$G:$G)/pomocne_tabulky!$C3</f>
        <v>0</v>
      </c>
      <c r="O3" s="120">
        <f>SUMPRODUCT(investice!$B:$B=$B3,investice!$M:$M=O$2,investice!$F:$F)</f>
        <v>0</v>
      </c>
      <c r="P3" s="120">
        <f>SUMPRODUCT(investice!$B:$B=$B3,investice!$M:$M=P$2,investice!$F:$F)</f>
        <v>0</v>
      </c>
      <c r="Q3" s="117">
        <v>1990</v>
      </c>
      <c r="R3" s="119">
        <f>SUMPRODUCT(investice!$B:$B=$B3,investice!$M:$M=R$2,investice!$D:$D&lt;&gt;"[1]sdružená investice",investice!$G:$G)/pomocne_tabulky!$C3</f>
        <v>0</v>
      </c>
      <c r="S3" s="119">
        <f>SUMPRODUCT(investice!$B:$B=$B3,investice!$M:$M=S$2,investice!$D:$D&lt;&gt;"[1]sdružená investice",investice!$G:$G)/pomocne_tabulky!$C3</f>
        <v>0</v>
      </c>
    </row>
    <row r="4" spans="1:19" ht="14.65" customHeight="1">
      <c r="A4" s="117" t="s">
        <v>547</v>
      </c>
      <c r="B4" s="117">
        <v>1991</v>
      </c>
      <c r="C4" s="119">
        <f>SUMPRODUCT(investice!$B:$B=$B4,investice!$D:$D=C$2,investice!$G:$G)/pomocne_tabulky!$C4</f>
        <v>0</v>
      </c>
      <c r="D4" s="119">
        <f>SUMPRODUCT(investice!$B:$B=$B4,investice!$D:$D=D$2,investice!$G:$G)/pomocne_tabulky!$C4</f>
        <v>0</v>
      </c>
      <c r="E4" s="119">
        <f>SUMPRODUCT(investice!$B:$B=$B4,investice!$D:$D=E$2,investice!$G:$G)/pomocne_tabulky!$C4</f>
        <v>0</v>
      </c>
      <c r="F4" s="119">
        <f>SUMPRODUCT(investice!$B:$B=$B4,investice!$D:$D=F$2,investice!$G:$G)/pomocne_tabulky!$C4</f>
        <v>0</v>
      </c>
      <c r="G4" s="119">
        <f>SUM(C4:E4)</f>
        <v>0</v>
      </c>
      <c r="H4" s="119">
        <f>SUMPRODUCT(investice!$B:$B=$B4,investice!$D:$D=C$2,investice!$Q:$Q)*1000000/pomocne_tabulky!$C4</f>
        <v>0</v>
      </c>
      <c r="I4" s="119">
        <f>SUMPRODUCT(investice!$B:$B=$B4,investice!$D:$D=D$2,investice!$P:$P)*1000000/pomocne_tabulky!$C4</f>
        <v>0</v>
      </c>
      <c r="J4" s="119">
        <f>H4+I4</f>
        <v>0</v>
      </c>
      <c r="K4" s="119">
        <f>G4-I4-H4</f>
        <v>0</v>
      </c>
      <c r="L4" s="120">
        <f>SUMPRODUCT(investice!$B:$B=$B4,investice!$F:$F)</f>
        <v>0</v>
      </c>
      <c r="M4" s="121">
        <f>SUMPRODUCT(investice!$B:$B=$B4,investice!$M:$M=M$2,investice!$G:$G)/pomocne_tabulky!$C4</f>
        <v>0</v>
      </c>
      <c r="N4" s="121">
        <f>SUMPRODUCT(investice!$B:$B=$B4,investice!$M:$M=N$2,investice!$G:$G)/pomocne_tabulky!$C4</f>
        <v>0</v>
      </c>
      <c r="O4" s="120">
        <f>SUMPRODUCT(investice!$B:$B=$B4,investice!$M:$M=O$2,investice!$F:$F)+O3</f>
        <v>0</v>
      </c>
      <c r="P4" s="120">
        <f>SUMPRODUCT(investice!$B:$B=$B4,investice!$M:$M=P$2,investice!$F:$F)+P3</f>
        <v>0</v>
      </c>
      <c r="Q4" s="117">
        <v>1991</v>
      </c>
      <c r="R4" s="119">
        <f>SUMPRODUCT(investice!$B:$B=$B4,investice!$M:$M=R$2,investice!$D:$D&lt;&gt;"[1]sdružená investice",investice!$G:$G)/pomocne_tabulky!$C4</f>
        <v>0</v>
      </c>
      <c r="S4" s="119">
        <f>SUMPRODUCT(investice!$B:$B=$B4,investice!$M:$M=S$2,investice!$D:$D&lt;&gt;"[1]sdružená investice",investice!$G:$G)/pomocne_tabulky!$C4</f>
        <v>0</v>
      </c>
    </row>
    <row r="5" spans="1:19" ht="14.65" customHeight="1">
      <c r="A5" s="122" t="s">
        <v>548</v>
      </c>
      <c r="B5" s="117">
        <v>1992</v>
      </c>
      <c r="C5" s="119">
        <f>SUMPRODUCT(investice!$B:$B=$B5,investice!$D:$D=C$2,investice!$G:$G)/pomocne_tabulky!$C5</f>
        <v>0</v>
      </c>
      <c r="D5" s="119">
        <f>SUMPRODUCT(investice!$B:$B=$B5,investice!$D:$D=D$2,investice!$G:$G)/pomocne_tabulky!$C5</f>
        <v>0</v>
      </c>
      <c r="E5" s="119">
        <f>SUMPRODUCT(investice!$B:$B=$B5,investice!$D:$D=E$2,investice!$G:$G)/pomocne_tabulky!$C5</f>
        <v>0</v>
      </c>
      <c r="F5" s="119">
        <f>SUMPRODUCT(investice!$B:$B=$B5,investice!$D:$D=F$2,investice!$G:$G)/pomocne_tabulky!$C5</f>
        <v>0</v>
      </c>
      <c r="G5" s="119">
        <f>SUM(C5:E5)</f>
        <v>0</v>
      </c>
      <c r="H5" s="119">
        <f>SUMPRODUCT(investice!$B:$B=$B5,investice!$D:$D=C$2,investice!$Q:$Q)*1000000/pomocne_tabulky!$C5</f>
        <v>0</v>
      </c>
      <c r="I5" s="119">
        <f>SUMPRODUCT(investice!$B:$B=$B5,investice!$D:$D=D$2,investice!$P:$P)*1000000/pomocne_tabulky!$C5</f>
        <v>0</v>
      </c>
      <c r="J5" s="119">
        <f>H5+I5</f>
        <v>0</v>
      </c>
      <c r="K5" s="119">
        <f>G5-I5-H5</f>
        <v>0</v>
      </c>
      <c r="L5" s="120">
        <f>SUMPRODUCT(investice!$B:$B=$B5,investice!$F:$F)</f>
        <v>0</v>
      </c>
      <c r="M5" s="121">
        <f>SUMPRODUCT(investice!$B:$B=$B5,investice!$M:$M=M$2,investice!$G:$G)/pomocne_tabulky!$C5</f>
        <v>0</v>
      </c>
      <c r="N5" s="121">
        <f>SUMPRODUCT(investice!$B:$B=$B5,investice!$M:$M=N$2,investice!$G:$G)/pomocne_tabulky!$C5</f>
        <v>0</v>
      </c>
      <c r="O5" s="120">
        <f>SUMPRODUCT(investice!$B:$B=$B5,investice!$M:$M=O$2,investice!$F:$F)+O4</f>
        <v>0</v>
      </c>
      <c r="P5" s="120">
        <f>SUMPRODUCT(investice!$B:$B=$B5,investice!$M:$M=P$2,investice!$F:$F)+P4</f>
        <v>0</v>
      </c>
      <c r="Q5" s="117">
        <v>1992</v>
      </c>
      <c r="R5" s="119">
        <f>SUMPRODUCT(investice!$B:$B=$B5,investice!$M:$M=R$2,investice!$D:$D&lt;&gt;"[1]sdružená investice",investice!$G:$G)/pomocne_tabulky!$C5</f>
        <v>0</v>
      </c>
      <c r="S5" s="119">
        <f>SUMPRODUCT(investice!$B:$B=$B5,investice!$M:$M=S$2,investice!$D:$D&lt;&gt;"[1]sdružená investice",investice!$G:$G)/pomocne_tabulky!$C5</f>
        <v>0</v>
      </c>
    </row>
    <row r="6" spans="1:19" ht="14.65" customHeight="1">
      <c r="A6" s="122"/>
      <c r="B6" s="117">
        <v>1993</v>
      </c>
      <c r="C6" s="119">
        <f>SUMPRODUCT(investice!$B:$B=$B6,investice!$D:$D=C$2,investice!$G:$G)/pomocne_tabulky!$C6</f>
        <v>0</v>
      </c>
      <c r="D6" s="119">
        <f>SUMPRODUCT(investice!$B:$B=$B6,investice!$D:$D=D$2,investice!$G:$G)/pomocne_tabulky!$C6</f>
        <v>0</v>
      </c>
      <c r="E6" s="119">
        <f>SUMPRODUCT(investice!$B:$B=$B6,investice!$D:$D=E$2,investice!$G:$G)/pomocne_tabulky!$C6</f>
        <v>1176908.07435294</v>
      </c>
      <c r="F6" s="119">
        <f>SUMPRODUCT(investice!$B:$B=$B6,investice!$D:$D=F$2,investice!$G:$G)/pomocne_tabulky!$C6</f>
        <v>0</v>
      </c>
      <c r="G6" s="119">
        <f>SUM(C6:E6)</f>
        <v>1176908.07435294</v>
      </c>
      <c r="H6" s="119">
        <f>SUMPRODUCT(investice!$B:$B=$B6,investice!$D:$D=C$2,investice!$Q:$Q)*1000000/pomocne_tabulky!$C6</f>
        <v>0</v>
      </c>
      <c r="I6" s="119">
        <f>SUMPRODUCT(investice!$B:$B=$B6,investice!$D:$D=D$2,investice!$P:$P)*1000000/pomocne_tabulky!$C6</f>
        <v>0</v>
      </c>
      <c r="J6" s="119">
        <f>H6+I6</f>
        <v>0</v>
      </c>
      <c r="K6" s="119">
        <f>G6-I6-H6</f>
        <v>1176908.07435294</v>
      </c>
      <c r="L6" s="120">
        <f>SUMPRODUCT(investice!$B:$B=$B6,investice!$F:$F)</f>
        <v>1.4</v>
      </c>
      <c r="M6" s="121">
        <f>SUMPRODUCT(investice!$B:$B=$B6,investice!$M:$M=M$2,investice!$G:$G)/pomocne_tabulky!$C6</f>
        <v>1176908.07435294</v>
      </c>
      <c r="N6" s="121">
        <f>SUMPRODUCT(investice!$B:$B=$B6,investice!$M:$M=N$2,investice!$G:$G)/pomocne_tabulky!$C6</f>
        <v>0</v>
      </c>
      <c r="O6" s="120">
        <f>SUMPRODUCT(investice!$B:$B=$B6,investice!$M:$M=O$2,investice!$F:$F)+O5</f>
        <v>1.4</v>
      </c>
      <c r="P6" s="120">
        <f>SUMPRODUCT(investice!$B:$B=$B6,investice!$M:$M=P$2,investice!$F:$F)+P5</f>
        <v>0</v>
      </c>
      <c r="Q6" s="117">
        <v>1993</v>
      </c>
      <c r="R6" s="119">
        <f>SUMPRODUCT(investice!$B:$B=$B6,investice!$M:$M=R$2,investice!$D:$D&lt;&gt;"[1]sdružená investice",investice!$G:$G)/pomocne_tabulky!$C6</f>
        <v>1176908.07435294</v>
      </c>
      <c r="S6" s="119">
        <f>SUMPRODUCT(investice!$B:$B=$B6,investice!$M:$M=S$2,investice!$D:$D&lt;&gt;"[1]sdružená investice",investice!$G:$G)/pomocne_tabulky!$C6</f>
        <v>0</v>
      </c>
    </row>
    <row r="7" spans="1:22" ht="14.65" customHeight="1">
      <c r="A7" s="122"/>
      <c r="B7" s="118">
        <v>1994</v>
      </c>
      <c r="C7" s="119">
        <f>SUMPRODUCT(investice!$B:$B=$B7,investice!$D:$D=C$2,investice!$G:$G)/pomocne_tabulky!$C7</f>
        <v>3479505.89626577</v>
      </c>
      <c r="D7" s="119">
        <f>SUMPRODUCT(investice!$B:$B=$B7,investice!$D:$D=D$2,investice!$G:$G)/pomocne_tabulky!$C7</f>
        <v>0</v>
      </c>
      <c r="E7" s="119">
        <f>SUMPRODUCT(investice!$B:$B=$B7,investice!$D:$D=E$2,investice!$G:$G)/pomocne_tabulky!$C7</f>
        <v>0</v>
      </c>
      <c r="F7" s="119">
        <f>SUMPRODUCT(investice!$B:$B=$B7,investice!$D:$D=F$2,investice!$G:$G)/pomocne_tabulky!$C7</f>
        <v>0</v>
      </c>
      <c r="G7" s="119">
        <f>SUM(C7:E7)</f>
        <v>3479505.89626577</v>
      </c>
      <c r="H7" s="119">
        <f>SUMPRODUCT(investice!$B:$B=$B7,investice!$D:$D=C$2,investice!$Q:$Q)*1000000/pomocne_tabulky!$C7</f>
        <v>0</v>
      </c>
      <c r="I7" s="119">
        <f>SUMPRODUCT(investice!$B:$B=$B7,investice!$D:$D=D$2,investice!$P:$P)*1000000/pomocne_tabulky!$C7</f>
        <v>0</v>
      </c>
      <c r="J7" s="119">
        <f>H7+I7</f>
        <v>0</v>
      </c>
      <c r="K7" s="119">
        <f>G7-I7-H7</f>
        <v>3479505.89626577</v>
      </c>
      <c r="L7" s="120">
        <f>SUMPRODUCT(investice!$B:$B=$B7,investice!$F:$F)</f>
        <v>0.5</v>
      </c>
      <c r="M7" s="121">
        <f>SUMPRODUCT(investice!$B:$B=$B7,investice!$M:$M=M$2,investice!$G:$G)/pomocne_tabulky!$C7</f>
        <v>3479505.89626577</v>
      </c>
      <c r="N7" s="121">
        <f>SUMPRODUCT(investice!$B:$B=$B7,investice!$M:$M=N$2,investice!$G:$G)/pomocne_tabulky!$C7</f>
        <v>0</v>
      </c>
      <c r="O7" s="120">
        <f>SUMPRODUCT(investice!$B:$B=$B7,investice!$M:$M=O$2,investice!$F:$F)+O6</f>
        <v>1.9</v>
      </c>
      <c r="P7" s="120">
        <f>SUMPRODUCT(investice!$B:$B=$B7,investice!$M:$M=P$2,investice!$F:$F)+P6</f>
        <v>0</v>
      </c>
      <c r="Q7" s="117">
        <v>1994</v>
      </c>
      <c r="R7" s="119">
        <f>SUMPRODUCT(investice!$B:$B=$B7,investice!$M:$M=R$2,investice!$D:$D&lt;&gt;"[1]sdružená investice",investice!$G:$G)/pomocne_tabulky!$C7</f>
        <v>0</v>
      </c>
      <c r="S7" s="119">
        <f>SUMPRODUCT(investice!$B:$B=$B7,investice!$M:$M=S$2,investice!$D:$D&lt;&gt;"[1]sdružená investice",investice!$G:$G)/pomocne_tabulky!$C7</f>
        <v>0</v>
      </c>
      <c r="T7" s="123"/>
      <c r="U7" s="123"/>
      <c r="V7" s="124"/>
    </row>
    <row r="8" spans="1:19" ht="14.65" customHeight="1">
      <c r="A8" s="122" t="s">
        <v>549</v>
      </c>
      <c r="B8" s="117">
        <v>1995</v>
      </c>
      <c r="C8" s="119">
        <f>SUMPRODUCT(investice!$B:$B=$B8,investice!$D:$D=C$2,investice!$G:$G)/pomocne_tabulky!$C8</f>
        <v>0</v>
      </c>
      <c r="D8" s="119">
        <f>SUMPRODUCT(investice!$B:$B=$B8,investice!$D:$D=D$2,investice!$G:$G)/pomocne_tabulky!$C8</f>
        <v>6326374.35684686</v>
      </c>
      <c r="E8" s="119">
        <f>SUMPRODUCT(investice!$B:$B=$B8,investice!$D:$D=E$2,investice!$G:$G)/pomocne_tabulky!$C8</f>
        <v>0</v>
      </c>
      <c r="F8" s="119">
        <f>SUMPRODUCT(investice!$B:$B=$B8,investice!$D:$D=F$2,investice!$G:$G)/pomocne_tabulky!$C8</f>
        <v>0</v>
      </c>
      <c r="G8" s="119">
        <f>SUM(C8:E8)</f>
        <v>6326374.35684686</v>
      </c>
      <c r="H8" s="119">
        <f>SUMPRODUCT(investice!$B:$B=$B8,investice!$D:$D=C$2,investice!$Q:$Q)*1000000/pomocne_tabulky!$C8</f>
        <v>0</v>
      </c>
      <c r="I8" s="119">
        <f>SUMPRODUCT(investice!$B:$B=$B8,investice!$D:$D=D$2,investice!$P:$P)*1000000/pomocne_tabulky!$C8</f>
        <v>0</v>
      </c>
      <c r="J8" s="119">
        <f>H8+I8</f>
        <v>0</v>
      </c>
      <c r="K8" s="119">
        <f>G8-I8-H8</f>
        <v>6326374.35684686</v>
      </c>
      <c r="L8" s="120">
        <f>SUMPRODUCT(investice!$B:$B=$B8,investice!$F:$F)</f>
        <v>1</v>
      </c>
      <c r="M8" s="121">
        <f>SUMPRODUCT(investice!$B:$B=$B8,investice!$M:$M=M$2,investice!$G:$G)/pomocne_tabulky!$C8</f>
        <v>0</v>
      </c>
      <c r="N8" s="121">
        <f>SUMPRODUCT(investice!$B:$B=$B8,investice!$M:$M=N$2,investice!$G:$G)/pomocne_tabulky!$C8</f>
        <v>6326374.35684686</v>
      </c>
      <c r="O8" s="120">
        <f>SUMPRODUCT(investice!$B:$B=$B8,investice!$M:$M=O$2,investice!$F:$F)+O7</f>
        <v>1.9</v>
      </c>
      <c r="P8" s="120">
        <f>SUMPRODUCT(investice!$B:$B=$B8,investice!$M:$M=P$2,investice!$F:$F)+P7</f>
        <v>1</v>
      </c>
      <c r="Q8" s="117">
        <v>1995</v>
      </c>
      <c r="R8" s="119">
        <f>SUMPRODUCT(investice!$B:$B=$B8,investice!$M:$M=R$2,investice!$D:$D&lt;&gt;"[1]sdružená investice",investice!$G:$G)/pomocne_tabulky!$C8</f>
        <v>0</v>
      </c>
      <c r="S8" s="119">
        <f>SUMPRODUCT(investice!$B:$B=$B8,investice!$M:$M=S$2,investice!$D:$D&lt;&gt;"[1]sdružená investice",investice!$G:$G)/pomocne_tabulky!$C8</f>
        <v>6326374.35684686</v>
      </c>
    </row>
    <row r="9" spans="1:19" ht="14.65" customHeight="1">
      <c r="A9" s="122"/>
      <c r="B9" s="117">
        <v>1996</v>
      </c>
      <c r="C9" s="119">
        <f>SUMPRODUCT(investice!$B:$B=$B9,investice!$D:$D=C$2,investice!$G:$G)/pomocne_tabulky!$C9</f>
        <v>0</v>
      </c>
      <c r="D9" s="119">
        <f>SUMPRODUCT(investice!$B:$B=$B9,investice!$D:$D=D$2,investice!$G:$G)/pomocne_tabulky!$C9</f>
        <v>3073307.4327487</v>
      </c>
      <c r="E9" s="119">
        <f>SUMPRODUCT(investice!$B:$B=$B9,investice!$D:$D=E$2,investice!$G:$G)/pomocne_tabulky!$C9</f>
        <v>0</v>
      </c>
      <c r="F9" s="119">
        <f>SUMPRODUCT(investice!$B:$B=$B9,investice!$D:$D=F$2,investice!$G:$G)/pomocne_tabulky!$C9</f>
        <v>0</v>
      </c>
      <c r="G9" s="119">
        <f>SUM(C9:E9)</f>
        <v>3073307.4327487</v>
      </c>
      <c r="H9" s="119">
        <f>SUMPRODUCT(investice!$B:$B=$B9,investice!$D:$D=C$2,investice!$Q:$Q)*1000000/pomocne_tabulky!$C9</f>
        <v>0</v>
      </c>
      <c r="I9" s="119">
        <f>SUMPRODUCT(investice!$B:$B=$B9,investice!$D:$D=D$2,investice!$P:$P)*1000000/pomocne_tabulky!$C9</f>
        <v>0</v>
      </c>
      <c r="J9" s="119">
        <f>H9+I9</f>
        <v>0</v>
      </c>
      <c r="K9" s="119">
        <f>G9-I9-H9</f>
        <v>3073307.4327487</v>
      </c>
      <c r="L9" s="120">
        <f>SUMPRODUCT(investice!$B:$B=$B9,investice!$F:$F)</f>
        <v>0.53</v>
      </c>
      <c r="M9" s="121">
        <f>SUMPRODUCT(investice!$B:$B=$B9,investice!$M:$M=M$2,investice!$G:$G)/pomocne_tabulky!$C9</f>
        <v>0</v>
      </c>
      <c r="N9" s="121">
        <f>SUMPRODUCT(investice!$B:$B=$B9,investice!$M:$M=N$2,investice!$G:$G)/pomocne_tabulky!$C9</f>
        <v>3073307.4327487</v>
      </c>
      <c r="O9" s="120">
        <f>SUMPRODUCT(investice!$B:$B=$B9,investice!$M:$M=O$2,investice!$F:$F)+O8</f>
        <v>1.9</v>
      </c>
      <c r="P9" s="120">
        <f>SUMPRODUCT(investice!$B:$B=$B9,investice!$M:$M=P$2,investice!$F:$F)+P8</f>
        <v>1.53</v>
      </c>
      <c r="Q9" s="117">
        <v>1996</v>
      </c>
      <c r="R9" s="119">
        <f>SUMPRODUCT(investice!$B:$B=$B9,investice!$M:$M=R$2,investice!$D:$D&lt;&gt;"[1]sdružená investice",investice!$G:$G)/pomocne_tabulky!$C9</f>
        <v>0</v>
      </c>
      <c r="S9" s="119">
        <f>SUMPRODUCT(investice!$B:$B=$B9,investice!$M:$M=S$2,investice!$D:$D&lt;&gt;"[1]sdružená investice",investice!$G:$G)/pomocne_tabulky!$C9</f>
        <v>3073307.4327487</v>
      </c>
    </row>
    <row r="10" spans="1:19" ht="14.65" customHeight="1">
      <c r="A10" s="122"/>
      <c r="B10" s="117">
        <v>1997</v>
      </c>
      <c r="C10" s="119">
        <f>SUMPRODUCT(investice!$B:$B=$B10,investice!$D:$D=C$2,investice!$G:$G)/pomocne_tabulky!$C10</f>
        <v>2220700.54738709</v>
      </c>
      <c r="D10" s="119">
        <f>SUMPRODUCT(investice!$B:$B=$B10,investice!$D:$D=D$2,investice!$G:$G)/pomocne_tabulky!$C10</f>
        <v>15605306.8865986</v>
      </c>
      <c r="E10" s="119">
        <f>SUMPRODUCT(investice!$B:$B=$B10,investice!$D:$D=E$2,investice!$G:$G)/pomocne_tabulky!$C10</f>
        <v>0</v>
      </c>
      <c r="F10" s="119">
        <f>SUMPRODUCT(investice!$B:$B=$B10,investice!$D:$D=F$2,investice!$G:$G)/pomocne_tabulky!$C10</f>
        <v>0</v>
      </c>
      <c r="G10" s="119">
        <f>SUM(C10:E10)</f>
        <v>17826007.4339857</v>
      </c>
      <c r="H10" s="119">
        <f>SUMPRODUCT(investice!$B:$B=$B10,investice!$D:$D=C$2,investice!$Q:$Q)*1000000/pomocne_tabulky!$C10</f>
        <v>0</v>
      </c>
      <c r="I10" s="119">
        <f>SUMPRODUCT(investice!$B:$B=$B10,investice!$D:$D=D$2,investice!$P:$P)*1000000/pomocne_tabulky!$C10</f>
        <v>0</v>
      </c>
      <c r="J10" s="119">
        <f>H10+I10</f>
        <v>0</v>
      </c>
      <c r="K10" s="119">
        <f>G10-I10-H10</f>
        <v>17826007.4339857</v>
      </c>
      <c r="L10" s="120">
        <f>SUMPRODUCT(investice!$B:$B=$B10,investice!$F:$F)</f>
        <v>3.778</v>
      </c>
      <c r="M10" s="121">
        <f>SUMPRODUCT(investice!$B:$B=$B10,investice!$M:$M=M$2,investice!$G:$G)/pomocne_tabulky!$C10</f>
        <v>11547642.8464129</v>
      </c>
      <c r="N10" s="121">
        <f>SUMPRODUCT(investice!$B:$B=$B10,investice!$M:$M=N$2,investice!$G:$G)/pomocne_tabulky!$C10</f>
        <v>6278364.58757279</v>
      </c>
      <c r="O10" s="120">
        <f>SUMPRODUCT(investice!$B:$B=$B10,investice!$M:$M=O$2,investice!$F:$F)+O9</f>
        <v>4.5</v>
      </c>
      <c r="P10" s="120">
        <f>SUMPRODUCT(investice!$B:$B=$B10,investice!$M:$M=P$2,investice!$F:$F)+P9</f>
        <v>2.708</v>
      </c>
      <c r="Q10" s="117">
        <v>1997</v>
      </c>
      <c r="R10" s="119">
        <f>SUMPRODUCT(investice!$B:$B=$B10,investice!$M:$M=R$2,investice!$D:$D&lt;&gt;"[1]sdružená investice",investice!$G:$G)/pomocne_tabulky!$C10</f>
        <v>9326942.29902579</v>
      </c>
      <c r="S10" s="119">
        <f>SUMPRODUCT(investice!$B:$B=$B10,investice!$M:$M=S$2,investice!$D:$D&lt;&gt;"[1]sdružená investice",investice!$G:$G)/pomocne_tabulky!$C10</f>
        <v>6278364.58757279</v>
      </c>
    </row>
    <row r="11" spans="1:22" ht="14.65" customHeight="1">
      <c r="A11" s="122"/>
      <c r="B11" s="118">
        <v>1998</v>
      </c>
      <c r="C11" s="119">
        <f>SUMPRODUCT(investice!$B:$B=$B11,investice!$D:$D=C$2,investice!$G:$G)/pomocne_tabulky!$C11</f>
        <v>2169532.33200951</v>
      </c>
      <c r="D11" s="119">
        <f>SUMPRODUCT(investice!$B:$B=$B11,investice!$D:$D=D$2,investice!$G:$G)/pomocne_tabulky!$C11</f>
        <v>15718875.7639934</v>
      </c>
      <c r="E11" s="119">
        <f>SUMPRODUCT(investice!$B:$B=$B11,investice!$D:$D=E$2,investice!$G:$G)/pomocne_tabulky!$C11</f>
        <v>0</v>
      </c>
      <c r="F11" s="119">
        <f>SUMPRODUCT(investice!$B:$B=$B11,investice!$D:$D=F$2,investice!$G:$G)/pomocne_tabulky!$C11</f>
        <v>0</v>
      </c>
      <c r="G11" s="119">
        <f>SUM(C11:E11)</f>
        <v>17888408.0960029</v>
      </c>
      <c r="H11" s="119">
        <f>SUMPRODUCT(investice!$B:$B=$B11,investice!$D:$D=C$2,investice!$Q:$Q)*1000000/pomocne_tabulky!$C11</f>
        <v>0</v>
      </c>
      <c r="I11" s="119">
        <f>SUMPRODUCT(investice!$B:$B=$B11,investice!$D:$D=D$2,investice!$P:$P)*1000000/pomocne_tabulky!$C11</f>
        <v>0</v>
      </c>
      <c r="J11" s="119">
        <f>H11+I11</f>
        <v>0</v>
      </c>
      <c r="K11" s="119">
        <f>G11-I11-H11</f>
        <v>17888408.0960029</v>
      </c>
      <c r="L11" s="120">
        <f>SUMPRODUCT(investice!$B:$B=$B11,investice!$F:$F)</f>
        <v>3.85</v>
      </c>
      <c r="M11" s="121">
        <f>SUMPRODUCT(investice!$B:$B=$B11,investice!$M:$M=M$2,investice!$G:$G)/pomocne_tabulky!$C11</f>
        <v>122803.716906199</v>
      </c>
      <c r="N11" s="121">
        <f>SUMPRODUCT(investice!$B:$B=$B11,investice!$M:$M=N$2,investice!$G:$G)/pomocne_tabulky!$C11</f>
        <v>17765604.3790967</v>
      </c>
      <c r="O11" s="120">
        <f>SUMPRODUCT(investice!$B:$B=$B11,investice!$M:$M=O$2,investice!$F:$F)+O10</f>
        <v>4.75</v>
      </c>
      <c r="P11" s="120">
        <f>SUMPRODUCT(investice!$B:$B=$B11,investice!$M:$M=P$2,investice!$F:$F)+P10</f>
        <v>6.308</v>
      </c>
      <c r="Q11" s="117">
        <v>1998</v>
      </c>
      <c r="R11" s="119">
        <f>SUMPRODUCT(investice!$B:$B=$B11,investice!$M:$M=R$2,investice!$D:$D&lt;&gt;"[1]sdružená investice",investice!$G:$G)/pomocne_tabulky!$C11</f>
        <v>0</v>
      </c>
      <c r="S11" s="119">
        <f>SUMPRODUCT(investice!$B:$B=$B11,investice!$M:$M=S$2,investice!$D:$D&lt;&gt;"[1]sdružená investice",investice!$G:$G)/pomocne_tabulky!$C11</f>
        <v>15718875.7639934</v>
      </c>
      <c r="T11" s="123"/>
      <c r="U11" s="123"/>
      <c r="V11" s="124"/>
    </row>
    <row r="12" spans="1:19" ht="14.65" customHeight="1">
      <c r="A12" s="122" t="s">
        <v>550</v>
      </c>
      <c r="B12" s="117">
        <v>1999</v>
      </c>
      <c r="C12" s="119">
        <f>SUMPRODUCT(investice!$B:$B=$B12,investice!$D:$D=C$2,investice!$G:$G)/pomocne_tabulky!$C12</f>
        <v>3143124.3411704</v>
      </c>
      <c r="D12" s="119">
        <f>SUMPRODUCT(investice!$B:$B=$B12,investice!$D:$D=D$2,investice!$G:$G)/pomocne_tabulky!$C12</f>
        <v>4437352.01106409</v>
      </c>
      <c r="E12" s="119">
        <f>SUMPRODUCT(investice!$B:$B=$B12,investice!$D:$D=E$2,investice!$G:$G)/pomocne_tabulky!$C12</f>
        <v>0</v>
      </c>
      <c r="F12" s="119">
        <f>SUMPRODUCT(investice!$B:$B=$B12,investice!$D:$D=F$2,investice!$G:$G)/pomocne_tabulky!$C12</f>
        <v>0</v>
      </c>
      <c r="G12" s="119">
        <f>SUM(C12:E12)</f>
        <v>7580476.35223449</v>
      </c>
      <c r="H12" s="119">
        <f>SUMPRODUCT(investice!$B:$B=$B12,investice!$D:$D=C$2,investice!$Q:$Q)*1000000/pomocne_tabulky!$C12</f>
        <v>0</v>
      </c>
      <c r="I12" s="119">
        <f>SUMPRODUCT(investice!$B:$B=$B12,investice!$D:$D=D$2,investice!$P:$P)*1000000/pomocne_tabulky!$C12</f>
        <v>0</v>
      </c>
      <c r="J12" s="119">
        <f>H12+I12</f>
        <v>0</v>
      </c>
      <c r="K12" s="119">
        <f>G12-I12-H12</f>
        <v>7580476.35223449</v>
      </c>
      <c r="L12" s="120">
        <f>SUMPRODUCT(investice!$B:$B=$B12,investice!$F:$F)</f>
        <v>1.75</v>
      </c>
      <c r="M12" s="121">
        <f>SUMPRODUCT(investice!$B:$B=$B12,investice!$M:$M=M$2,investice!$G:$G)/pomocne_tabulky!$C12</f>
        <v>3143124.3411704</v>
      </c>
      <c r="N12" s="121">
        <f>SUMPRODUCT(investice!$B:$B=$B12,investice!$M:$M=N$2,investice!$G:$G)/pomocne_tabulky!$C12</f>
        <v>4437352.01106409</v>
      </c>
      <c r="O12" s="120">
        <f>SUMPRODUCT(investice!$B:$B=$B12,investice!$M:$M=O$2,investice!$F:$F)+O11</f>
        <v>5.6</v>
      </c>
      <c r="P12" s="120">
        <f>SUMPRODUCT(investice!$B:$B=$B12,investice!$M:$M=P$2,investice!$F:$F)+P11</f>
        <v>7.208</v>
      </c>
      <c r="Q12" s="117">
        <v>1999</v>
      </c>
      <c r="R12" s="119">
        <f>SUMPRODUCT(investice!$B:$B=$B12,investice!$M:$M=R$2,investice!$D:$D&lt;&gt;"[1]sdružená investice",investice!$G:$G)/pomocne_tabulky!$C12</f>
        <v>0</v>
      </c>
      <c r="S12" s="119">
        <f>SUMPRODUCT(investice!$B:$B=$B12,investice!$M:$M=S$2,investice!$D:$D&lt;&gt;"[1]sdružená investice",investice!$G:$G)/pomocne_tabulky!$C12</f>
        <v>4437352.01106409</v>
      </c>
    </row>
    <row r="13" spans="1:19" ht="14.65" customHeight="1">
      <c r="A13" s="122"/>
      <c r="B13" s="117">
        <v>2000</v>
      </c>
      <c r="C13" s="119">
        <f>SUMPRODUCT(investice!$B:$B=$B13,investice!$D:$D=C$2,investice!$G:$G)/pomocne_tabulky!$C13</f>
        <v>0</v>
      </c>
      <c r="D13" s="119">
        <f>SUMPRODUCT(investice!$B:$B=$B13,investice!$D:$D=D$2,investice!$G:$G)/pomocne_tabulky!$C13</f>
        <v>18608484.0294216</v>
      </c>
      <c r="E13" s="119">
        <f>SUMPRODUCT(investice!$B:$B=$B13,investice!$D:$D=E$2,investice!$G:$G)/pomocne_tabulky!$C13</f>
        <v>0</v>
      </c>
      <c r="F13" s="119">
        <f>SUMPRODUCT(investice!$B:$B=$B13,investice!$D:$D=F$2,investice!$G:$G)/pomocne_tabulky!$C13</f>
        <v>0</v>
      </c>
      <c r="G13" s="119">
        <f>SUM(C13:E13)</f>
        <v>18608484.0294216</v>
      </c>
      <c r="H13" s="119">
        <f>SUMPRODUCT(investice!$B:$B=$B13,investice!$D:$D=C$2,investice!$Q:$Q)*1000000/pomocne_tabulky!$C13</f>
        <v>0</v>
      </c>
      <c r="I13" s="119">
        <f>SUMPRODUCT(investice!$B:$B=$B13,investice!$D:$D=D$2,investice!$P:$P)*1000000/pomocne_tabulky!$C13</f>
        <v>11010080.0796889</v>
      </c>
      <c r="J13" s="119">
        <f>H13+I13</f>
        <v>11010080.0796889</v>
      </c>
      <c r="K13" s="119">
        <f>G13-I13-H13</f>
        <v>7598403.94973267</v>
      </c>
      <c r="L13" s="120">
        <f>SUMPRODUCT(investice!$B:$B=$B13,investice!$F:$F)</f>
        <v>4.89</v>
      </c>
      <c r="M13" s="121">
        <f>SUMPRODUCT(investice!$B:$B=$B13,investice!$M:$M=M$2,investice!$G:$G)/pomocne_tabulky!$C13</f>
        <v>0</v>
      </c>
      <c r="N13" s="121">
        <f>SUMPRODUCT(investice!$B:$B=$B13,investice!$M:$M=N$2,investice!$G:$G)/pomocne_tabulky!$C13</f>
        <v>18608484.0294216</v>
      </c>
      <c r="O13" s="120">
        <f>SUMPRODUCT(investice!$B:$B=$B13,investice!$M:$M=O$2,investice!$F:$F)+O12</f>
        <v>5.6</v>
      </c>
      <c r="P13" s="120">
        <f>SUMPRODUCT(investice!$B:$B=$B13,investice!$M:$M=P$2,investice!$F:$F)+P12</f>
        <v>12.098</v>
      </c>
      <c r="Q13" s="117">
        <v>2000</v>
      </c>
      <c r="R13" s="119">
        <f>SUMPRODUCT(investice!$B:$B=$B13,investice!$M:$M=R$2,investice!$D:$D&lt;&gt;"[1]sdružená investice",investice!$G:$G)/pomocne_tabulky!$C13</f>
        <v>0</v>
      </c>
      <c r="S13" s="119">
        <f>SUMPRODUCT(investice!$B:$B=$B13,investice!$M:$M=S$2,investice!$D:$D&lt;&gt;"[1]sdružená investice",investice!$G:$G)/pomocne_tabulky!$C13</f>
        <v>18608484.0294216</v>
      </c>
    </row>
    <row r="14" spans="1:19" ht="14.65" customHeight="1">
      <c r="A14" s="122"/>
      <c r="B14" s="117">
        <v>2001</v>
      </c>
      <c r="C14" s="119">
        <f>SUMPRODUCT(investice!$B:$B=$B14,investice!$D:$D=C$2,investice!$G:$G)/pomocne_tabulky!$C14</f>
        <v>3025666.60413922</v>
      </c>
      <c r="D14" s="119">
        <f>SUMPRODUCT(investice!$B:$B=$B14,investice!$D:$D=D$2,investice!$G:$G)/pomocne_tabulky!$C14</f>
        <v>3591759.06555881</v>
      </c>
      <c r="E14" s="119">
        <f>SUMPRODUCT(investice!$B:$B=$B14,investice!$D:$D=E$2,investice!$G:$G)/pomocne_tabulky!$C14</f>
        <v>0</v>
      </c>
      <c r="F14" s="119">
        <f>SUMPRODUCT(investice!$B:$B=$B14,investice!$D:$D=F$2,investice!$G:$G)/pomocne_tabulky!$C14</f>
        <v>0</v>
      </c>
      <c r="G14" s="119">
        <f>SUM(C14:E14)</f>
        <v>6617425.66969803</v>
      </c>
      <c r="H14" s="119">
        <f>SUMPRODUCT(investice!$B:$B=$B14,investice!$D:$D=C$2,investice!$Q:$Q)*1000000/pomocne_tabulky!$C14</f>
        <v>0</v>
      </c>
      <c r="I14" s="119">
        <f>SUMPRODUCT(investice!$B:$B=$B14,investice!$D:$D=D$2,investice!$P:$P)*1000000/pomocne_tabulky!$C14</f>
        <v>0</v>
      </c>
      <c r="J14" s="119">
        <f>H14+I14</f>
        <v>0</v>
      </c>
      <c r="K14" s="119">
        <f>G14-I14-H14</f>
        <v>6617425.66969803</v>
      </c>
      <c r="L14" s="120">
        <f>SUMPRODUCT(investice!$B:$B=$B14,investice!$F:$F)</f>
        <v>2.06</v>
      </c>
      <c r="M14" s="121">
        <f>SUMPRODUCT(investice!$B:$B=$B14,investice!$M:$M=M$2,investice!$G:$G)/pomocne_tabulky!$C14</f>
        <v>4177371.95668253</v>
      </c>
      <c r="N14" s="121">
        <f>SUMPRODUCT(investice!$B:$B=$B14,investice!$M:$M=N$2,investice!$G:$G)/pomocne_tabulky!$C14</f>
        <v>2440053.7130155</v>
      </c>
      <c r="O14" s="120">
        <f>SUMPRODUCT(investice!$B:$B=$B14,investice!$M:$M=O$2,investice!$F:$F)+O13</f>
        <v>6.96</v>
      </c>
      <c r="P14" s="120">
        <f>SUMPRODUCT(investice!$B:$B=$B14,investice!$M:$M=P$2,investice!$F:$F)+P13</f>
        <v>12.798</v>
      </c>
      <c r="Q14" s="117">
        <v>2001</v>
      </c>
      <c r="R14" s="119">
        <f>SUMPRODUCT(investice!$B:$B=$B14,investice!$M:$M=R$2,investice!$D:$D&lt;&gt;"[1]sdružená investice",investice!$G:$G)/pomocne_tabulky!$C14</f>
        <v>3591759.06555881</v>
      </c>
      <c r="S14" s="119">
        <f>SUMPRODUCT(investice!$B:$B=$B14,investice!$M:$M=S$2,investice!$D:$D&lt;&gt;"[1]sdružená investice",investice!$G:$G)/pomocne_tabulky!$C14</f>
        <v>0</v>
      </c>
    </row>
    <row r="15" spans="1:23" ht="14.65" customHeight="1">
      <c r="A15" s="122"/>
      <c r="B15" s="118">
        <v>2002</v>
      </c>
      <c r="C15" s="119">
        <f>SUMPRODUCT(investice!$B:$B=$B15,investice!$D:$D=C$2,investice!$G:$G)/pomocne_tabulky!$C15</f>
        <v>2690085.1413788</v>
      </c>
      <c r="D15" s="119">
        <f>SUMPRODUCT(investice!$B:$B=$B15,investice!$D:$D=D$2,investice!$G:$G)/pomocne_tabulky!$C15</f>
        <v>3457158.92426701</v>
      </c>
      <c r="E15" s="119">
        <f>SUMPRODUCT(investice!$B:$B=$B15,investice!$D:$D=E$2,investice!$G:$G)/pomocne_tabulky!$C15</f>
        <v>0</v>
      </c>
      <c r="F15" s="119">
        <f>SUMPRODUCT(investice!$B:$B=$B15,investice!$D:$D=F$2,investice!$G:$G)/pomocne_tabulky!$C15</f>
        <v>0</v>
      </c>
      <c r="G15" s="119">
        <f>SUM(C15:E15)</f>
        <v>6147244.06564581</v>
      </c>
      <c r="H15" s="119">
        <f>SUMPRODUCT(investice!$B:$B=$B15,investice!$D:$D=C$2,investice!$Q:$Q)*1000000/pomocne_tabulky!$C15</f>
        <v>39225.3638976927</v>
      </c>
      <c r="I15" s="119">
        <f>SUMPRODUCT(investice!$B:$B=$B15,investice!$D:$D=D$2,investice!$P:$P)*1000000/pomocne_tabulky!$C15</f>
        <v>0</v>
      </c>
      <c r="J15" s="119">
        <f>H15+I15</f>
        <v>39225.3638976927</v>
      </c>
      <c r="K15" s="119">
        <f>G15-I15-H15</f>
        <v>6108018.70174812</v>
      </c>
      <c r="L15" s="120">
        <f>SUMPRODUCT(investice!$B:$B=$B15,investice!$F:$F)</f>
        <v>3.2</v>
      </c>
      <c r="M15" s="121">
        <f>SUMPRODUCT(investice!$B:$B=$B15,investice!$M:$M=M$2,investice!$G:$G)/pomocne_tabulky!$C15</f>
        <v>2330519.30564995</v>
      </c>
      <c r="N15" s="121">
        <f>SUMPRODUCT(investice!$B:$B=$B15,investice!$M:$M=N$2,investice!$G:$G)/pomocne_tabulky!$C15</f>
        <v>3816724.75999586</v>
      </c>
      <c r="O15" s="120">
        <f>SUMPRODUCT(investice!$B:$B=$B15,investice!$M:$M=O$2,investice!$F:$F)+O14</f>
        <v>7.66</v>
      </c>
      <c r="P15" s="120">
        <f>SUMPRODUCT(investice!$B:$B=$B15,investice!$M:$M=P$2,investice!$F:$F)+P14</f>
        <v>15.298</v>
      </c>
      <c r="Q15" s="117">
        <v>2002</v>
      </c>
      <c r="R15" s="119">
        <f>SUMPRODUCT(investice!$B:$B=$B15,investice!$M:$M=R$2,investice!$D:$D&lt;&gt;"[1]sdružená investice",investice!$G:$G)/pomocne_tabulky!$C15</f>
        <v>0</v>
      </c>
      <c r="S15" s="119">
        <f>SUMPRODUCT(investice!$B:$B=$B15,investice!$M:$M=S$2,investice!$D:$D&lt;&gt;"[1]sdružená investice",investice!$G:$G)/pomocne_tabulky!$C15</f>
        <v>3457158.92426701</v>
      </c>
      <c r="T15" s="125">
        <f>SUM(R12:R15)/4/1000000</f>
        <v>0.897939766389703</v>
      </c>
      <c r="U15" s="125">
        <f>SUM(S12:S15)/4/1000000</f>
        <v>6.62574874118817</v>
      </c>
      <c r="V15" s="126">
        <f>SUM(T15:U15)</f>
        <v>7.52368850757787</v>
      </c>
      <c r="W15" t="s">
        <v>551</v>
      </c>
    </row>
    <row r="16" spans="1:22" ht="14.65" customHeight="1">
      <c r="A16" s="122"/>
      <c r="B16" s="117">
        <v>2003</v>
      </c>
      <c r="C16" s="119">
        <f>SUMPRODUCT(investice!$B:$B=$B16,investice!$D:$D=C$2,investice!$G:$G)/pomocne_tabulky!$C16</f>
        <v>0</v>
      </c>
      <c r="D16" s="119">
        <f>SUMPRODUCT(investice!$B:$B=$B16,investice!$D:$D=D$2,investice!$G:$G)/pomocne_tabulky!$C16</f>
        <v>0</v>
      </c>
      <c r="E16" s="119">
        <f>SUMPRODUCT(investice!$B:$B=$B16,investice!$D:$D=E$2,investice!$G:$G)/pomocne_tabulky!$C16</f>
        <v>0</v>
      </c>
      <c r="F16" s="119">
        <f>SUMPRODUCT(investice!$B:$B=$B16,investice!$D:$D=F$2,investice!$G:$G)/pomocne_tabulky!$C16</f>
        <v>0</v>
      </c>
      <c r="G16" s="119">
        <f>SUM(C16:E16)</f>
        <v>0</v>
      </c>
      <c r="H16" s="119">
        <f>SUMPRODUCT(investice!$B:$B=$B16,investice!$D:$D=C$2,investice!$Q:$Q)*1000000/pomocne_tabulky!$C16</f>
        <v>0</v>
      </c>
      <c r="I16" s="119">
        <f>SUMPRODUCT(investice!$B:$B=$B16,investice!$D:$D=D$2,investice!$P:$P)*1000000/pomocne_tabulky!$C16</f>
        <v>0</v>
      </c>
      <c r="J16" s="119">
        <f>H16+I16</f>
        <v>0</v>
      </c>
      <c r="K16" s="119">
        <f>G16-I16-H16</f>
        <v>0</v>
      </c>
      <c r="L16" s="120">
        <f>SUMPRODUCT(investice!$B:$B=$B16,investice!$F:$F)</f>
        <v>0.078</v>
      </c>
      <c r="M16" s="121">
        <f>SUMPRODUCT(investice!$B:$B=$B16,investice!$M:$M=M$2,investice!$G:$G)/pomocne_tabulky!$C16</f>
        <v>0</v>
      </c>
      <c r="N16" s="121">
        <f>SUMPRODUCT(investice!$B:$B=$B16,investice!$M:$M=N$2,investice!$G:$G)/pomocne_tabulky!$C16</f>
        <v>0</v>
      </c>
      <c r="O16" s="120">
        <f>SUMPRODUCT(investice!$B:$B=$B16,investice!$M:$M=O$2,investice!$F:$F)+O15</f>
        <v>7.66</v>
      </c>
      <c r="P16" s="120">
        <f>SUMPRODUCT(investice!$B:$B=$B16,investice!$M:$M=P$2,investice!$F:$F)+P15</f>
        <v>15.298</v>
      </c>
      <c r="Q16" s="117">
        <v>2003</v>
      </c>
      <c r="R16" s="119">
        <f>SUMPRODUCT(investice!$B:$B=$B16,investice!$M:$M=R$2,investice!$D:$D&lt;&gt;"[1]sdružená investice",investice!$G:$G)/pomocne_tabulky!$C16</f>
        <v>0</v>
      </c>
      <c r="S16" s="119">
        <f>SUMPRODUCT(investice!$B:$B=$B16,investice!$M:$M=S$2,investice!$D:$D&lt;&gt;"[1]sdružená investice",investice!$G:$G)/pomocne_tabulky!$C16</f>
        <v>0</v>
      </c>
      <c r="V16" s="126"/>
    </row>
    <row r="17" spans="1:22" ht="14.65" customHeight="1">
      <c r="A17" s="122"/>
      <c r="B17" s="117">
        <v>2004</v>
      </c>
      <c r="C17" s="119">
        <f>SUMPRODUCT(investice!$B:$B=$B17,investice!$D:$D=C$2,investice!$G:$G)/pomocne_tabulky!$C17</f>
        <v>0</v>
      </c>
      <c r="D17" s="119">
        <f>SUMPRODUCT(investice!$B:$B=$B17,investice!$D:$D=D$2,investice!$G:$G)/pomocne_tabulky!$C17</f>
        <v>1506822.54002769</v>
      </c>
      <c r="E17" s="119">
        <f>SUMPRODUCT(investice!$B:$B=$B17,investice!$D:$D=E$2,investice!$G:$G)/pomocne_tabulky!$C17</f>
        <v>0</v>
      </c>
      <c r="F17" s="119">
        <f>SUMPRODUCT(investice!$B:$B=$B17,investice!$D:$D=F$2,investice!$G:$G)/pomocne_tabulky!$C17</f>
        <v>0</v>
      </c>
      <c r="G17" s="119">
        <f>SUM(C17:E17)</f>
        <v>1506822.54002769</v>
      </c>
      <c r="H17" s="119">
        <f>SUMPRODUCT(investice!$B:$B=$B17,investice!$D:$D=C$2,investice!$Q:$Q)*1000000/pomocne_tabulky!$C17</f>
        <v>0</v>
      </c>
      <c r="I17" s="119">
        <f>SUMPRODUCT(investice!$B:$B=$B17,investice!$D:$D=D$2,investice!$P:$P)*1000000/pomocne_tabulky!$C17</f>
        <v>0</v>
      </c>
      <c r="J17" s="119">
        <f>H17+I17</f>
        <v>0</v>
      </c>
      <c r="K17" s="119">
        <f>G17-I17-H17</f>
        <v>1506822.54002769</v>
      </c>
      <c r="L17" s="120">
        <f>SUMPRODUCT(investice!$B:$B=$B17,investice!$F:$F)</f>
        <v>0.13</v>
      </c>
      <c r="M17" s="121">
        <f>SUMPRODUCT(investice!$B:$B=$B17,investice!$M:$M=M$2,investice!$G:$G)/pomocne_tabulky!$C17</f>
        <v>1506822.54002769</v>
      </c>
      <c r="N17" s="121">
        <f>SUMPRODUCT(investice!$B:$B=$B17,investice!$M:$M=N$2,investice!$G:$G)/pomocne_tabulky!$C17</f>
        <v>0</v>
      </c>
      <c r="O17" s="120">
        <f>SUMPRODUCT(investice!$B:$B=$B17,investice!$M:$M=O$2,investice!$F:$F)+O16</f>
        <v>7.79</v>
      </c>
      <c r="P17" s="120">
        <f>SUMPRODUCT(investice!$B:$B=$B17,investice!$M:$M=P$2,investice!$F:$F)+P16</f>
        <v>15.298</v>
      </c>
      <c r="Q17" s="117">
        <v>2004</v>
      </c>
      <c r="R17" s="119">
        <f>SUMPRODUCT(investice!$B:$B=$B17,investice!$M:$M=R$2,investice!$D:$D&lt;&gt;"[1]sdružená investice",investice!$G:$G)/pomocne_tabulky!$C17</f>
        <v>1506822.54002769</v>
      </c>
      <c r="S17" s="119">
        <f>SUMPRODUCT(investice!$B:$B=$B17,investice!$M:$M=S$2,investice!$D:$D&lt;&gt;"[1]sdružená investice",investice!$G:$G)/pomocne_tabulky!$C17</f>
        <v>0</v>
      </c>
      <c r="V17" s="126"/>
    </row>
    <row r="18" spans="1:22" ht="14.65" customHeight="1">
      <c r="A18" s="122" t="s">
        <v>552</v>
      </c>
      <c r="B18" s="117">
        <v>2005</v>
      </c>
      <c r="C18" s="119">
        <f>SUMPRODUCT(investice!$B:$B=$B18,investice!$D:$D=C$2,investice!$G:$G)/pomocne_tabulky!$C18</f>
        <v>1144147.97299628</v>
      </c>
      <c r="D18" s="119">
        <f>SUMPRODUCT(investice!$B:$B=$B18,investice!$D:$D=D$2,investice!$G:$G)/pomocne_tabulky!$C18</f>
        <v>0</v>
      </c>
      <c r="E18" s="119">
        <f>SUMPRODUCT(investice!$B:$B=$B18,investice!$D:$D=E$2,investice!$G:$G)/pomocne_tabulky!$C18</f>
        <v>0</v>
      </c>
      <c r="F18" s="119">
        <f>SUMPRODUCT(investice!$B:$B=$B18,investice!$D:$D=F$2,investice!$G:$G)/pomocne_tabulky!$C18</f>
        <v>0</v>
      </c>
      <c r="G18" s="119">
        <f>SUM(C18:E18)</f>
        <v>1144147.97299628</v>
      </c>
      <c r="H18" s="119">
        <f>SUMPRODUCT(investice!$B:$B=$B18,investice!$D:$D=C$2,investice!$Q:$Q)*1000000/pomocne_tabulky!$C18</f>
        <v>0</v>
      </c>
      <c r="I18" s="119">
        <f>SUMPRODUCT(investice!$B:$B=$B18,investice!$D:$D=D$2,investice!$P:$P)*1000000/pomocne_tabulky!$C18</f>
        <v>0</v>
      </c>
      <c r="J18" s="119">
        <f>H18+I18</f>
        <v>0</v>
      </c>
      <c r="K18" s="119">
        <f>G18-I18-H18</f>
        <v>1144147.97299628</v>
      </c>
      <c r="L18" s="120">
        <f>SUMPRODUCT(investice!$B:$B=$B18,investice!$F:$F)</f>
        <v>0.18</v>
      </c>
      <c r="M18" s="121">
        <f>SUMPRODUCT(investice!$B:$B=$B18,investice!$M:$M=M$2,investice!$G:$G)/pomocne_tabulky!$C18</f>
        <v>1144147.97299628</v>
      </c>
      <c r="N18" s="121">
        <f>SUMPRODUCT(investice!$B:$B=$B18,investice!$M:$M=N$2,investice!$G:$G)/pomocne_tabulky!$C18</f>
        <v>0</v>
      </c>
      <c r="O18" s="120">
        <f>SUMPRODUCT(investice!$B:$B=$B18,investice!$M:$M=O$2,investice!$F:$F)+O17</f>
        <v>7.97</v>
      </c>
      <c r="P18" s="120">
        <f>SUMPRODUCT(investice!$B:$B=$B18,investice!$M:$M=P$2,investice!$F:$F)+P17</f>
        <v>15.298</v>
      </c>
      <c r="Q18" s="117">
        <v>2005</v>
      </c>
      <c r="R18" s="119">
        <f>SUMPRODUCT(investice!$B:$B=$B18,investice!$M:$M=R$2,investice!$D:$D&lt;&gt;"[1]sdružená investice",investice!$G:$G)/pomocne_tabulky!$C18</f>
        <v>0</v>
      </c>
      <c r="S18" s="119">
        <f>SUMPRODUCT(investice!$B:$B=$B18,investice!$M:$M=S$2,investice!$D:$D&lt;&gt;"[1]sdružená investice",investice!$G:$G)/pomocne_tabulky!$C18</f>
        <v>0</v>
      </c>
      <c r="V18" s="126"/>
    </row>
    <row r="19" spans="1:23" ht="14.65" customHeight="1">
      <c r="A19" s="122"/>
      <c r="B19" s="118">
        <v>2006</v>
      </c>
      <c r="C19" s="119">
        <f>SUMPRODUCT(investice!$B:$B=$B19,investice!$D:$D=C$2,investice!$G:$G)/pomocne_tabulky!$C19</f>
        <v>7485429.98361976</v>
      </c>
      <c r="D19" s="119">
        <f>SUMPRODUCT(investice!$B:$B=$B19,investice!$D:$D=D$2,investice!$G:$G)/pomocne_tabulky!$C19</f>
        <v>15469888.6328142</v>
      </c>
      <c r="E19" s="119">
        <f>SUMPRODUCT(investice!$B:$B=$B19,investice!$D:$D=E$2,investice!$G:$G)/pomocne_tabulky!$C19</f>
        <v>0</v>
      </c>
      <c r="F19" s="119">
        <f>SUMPRODUCT(investice!$B:$B=$B19,investice!$D:$D=F$2,investice!$G:$G)/pomocne_tabulky!$C19</f>
        <v>0</v>
      </c>
      <c r="G19" s="119">
        <f>SUM(C19:E19)</f>
        <v>22955318.6164339</v>
      </c>
      <c r="H19" s="119">
        <f>SUMPRODUCT(investice!$B:$B=$B19,investice!$D:$D=C$2,investice!$Q:$Q)*1000000/pomocne_tabulky!$C19</f>
        <v>0</v>
      </c>
      <c r="I19" s="119">
        <f>SUMPRODUCT(investice!$B:$B=$B19,investice!$D:$D=D$2,investice!$P:$P)*1000000/pomocne_tabulky!$C19</f>
        <v>6683241.40370851</v>
      </c>
      <c r="J19" s="119">
        <f>H19+I19</f>
        <v>6683241.40370851</v>
      </c>
      <c r="K19" s="119">
        <f>G19-I19-H19</f>
        <v>16272077.2127254</v>
      </c>
      <c r="L19" s="120">
        <f>SUMPRODUCT(investice!$B:$B=$B19,investice!$F:$F)</f>
        <v>2.7</v>
      </c>
      <c r="M19" s="121">
        <f>SUMPRODUCT(investice!$B:$B=$B19,investice!$M:$M=M$2,investice!$G:$G)/pomocne_tabulky!$C19</f>
        <v>7485429.98361976</v>
      </c>
      <c r="N19" s="121">
        <f>SUMPRODUCT(investice!$B:$B=$B19,investice!$M:$M=N$2,investice!$G:$G)/pomocne_tabulky!$C19</f>
        <v>15469888.6328142</v>
      </c>
      <c r="O19" s="120">
        <f>SUMPRODUCT(investice!$B:$B=$B19,investice!$M:$M=O$2,investice!$F:$F)+O18</f>
        <v>9.17</v>
      </c>
      <c r="P19" s="120">
        <f>SUMPRODUCT(investice!$B:$B=$B19,investice!$M:$M=P$2,investice!$F:$F)+P18</f>
        <v>16.798</v>
      </c>
      <c r="Q19" s="117">
        <v>2006</v>
      </c>
      <c r="R19" s="119">
        <f>SUMPRODUCT(investice!$B:$B=$B19,investice!$M:$M=R$2,investice!$D:$D&lt;&gt;"[1]sdružená investice",investice!$G:$G)/pomocne_tabulky!$C19</f>
        <v>0</v>
      </c>
      <c r="S19" s="119">
        <f>SUMPRODUCT(investice!$B:$B=$B19,investice!$M:$M=S$2,investice!$D:$D&lt;&gt;"[1]sdružená investice",investice!$G:$G)/pomocne_tabulky!$C19</f>
        <v>15469888.6328142</v>
      </c>
      <c r="T19" s="125">
        <f>SUM(R16:R19)/4/1000000</f>
        <v>0.376705635006923</v>
      </c>
      <c r="U19" s="125">
        <f>SUM(S16:S19)/4/1000000</f>
        <v>3.86747215820354</v>
      </c>
      <c r="V19" s="126">
        <f>SUM(T19:U19)</f>
        <v>4.24417779321047</v>
      </c>
      <c r="W19" t="s">
        <v>553</v>
      </c>
    </row>
    <row r="20" spans="1:22" ht="14.65" customHeight="1">
      <c r="A20" s="122" t="s">
        <v>554</v>
      </c>
      <c r="B20" s="117">
        <v>2007</v>
      </c>
      <c r="C20" s="119">
        <f>SUMPRODUCT(investice!$B:$B=$B20,investice!$D:$D=C$2,investice!$G:$G)/pomocne_tabulky!$C20</f>
        <v>11319430.7069372</v>
      </c>
      <c r="D20" s="119">
        <f>SUMPRODUCT(investice!$B:$B=$B20,investice!$D:$D=D$2,investice!$G:$G)/pomocne_tabulky!$C20</f>
        <v>0</v>
      </c>
      <c r="E20" s="119">
        <f>SUMPRODUCT(investice!$B:$B=$B20,investice!$D:$D=E$2,investice!$G:$G)/pomocne_tabulky!$C20</f>
        <v>0</v>
      </c>
      <c r="F20" s="119">
        <f>SUMPRODUCT(investice!$B:$B=$B20,investice!$D:$D=F$2,investice!$G:$G)/pomocne_tabulky!$C20</f>
        <v>0</v>
      </c>
      <c r="G20" s="119">
        <f>SUM(C20:E20)</f>
        <v>11319430.7069372</v>
      </c>
      <c r="H20" s="119">
        <f>SUMPRODUCT(investice!$B:$B=$B20,investice!$D:$D=C$2,investice!$Q:$Q)*1000000/pomocne_tabulky!$C20</f>
        <v>0</v>
      </c>
      <c r="I20" s="119">
        <f>SUMPRODUCT(investice!$B:$B=$B20,investice!$D:$D=D$2,investice!$P:$P)*1000000/pomocne_tabulky!$C20</f>
        <v>0</v>
      </c>
      <c r="J20" s="119">
        <f>H20+I20</f>
        <v>0</v>
      </c>
      <c r="K20" s="119">
        <f>G20-I20-H20</f>
        <v>11319430.7069372</v>
      </c>
      <c r="L20" s="120">
        <f>SUMPRODUCT(investice!$B:$B=$B20,investice!$F:$F)</f>
        <v>1.911</v>
      </c>
      <c r="M20" s="121">
        <f>SUMPRODUCT(investice!$B:$B=$B20,investice!$M:$M=M$2,investice!$G:$G)/pomocne_tabulky!$C20</f>
        <v>11319430.7069372</v>
      </c>
      <c r="N20" s="121">
        <f>SUMPRODUCT(investice!$B:$B=$B20,investice!$M:$M=N$2,investice!$G:$G)/pomocne_tabulky!$C20</f>
        <v>0</v>
      </c>
      <c r="O20" s="120">
        <f>SUMPRODUCT(investice!$B:$B=$B20,investice!$M:$M=O$2,investice!$F:$F)+O19</f>
        <v>11.03</v>
      </c>
      <c r="P20" s="120">
        <f>SUMPRODUCT(investice!$B:$B=$B20,investice!$M:$M=P$2,investice!$F:$F)+P19</f>
        <v>16.798</v>
      </c>
      <c r="Q20" s="117">
        <v>2007</v>
      </c>
      <c r="R20" s="119">
        <f>SUMPRODUCT(investice!$B:$B=$B20,investice!$M:$M=R$2,investice!$D:$D&lt;&gt;"[1]sdružená investice",investice!$G:$G)/pomocne_tabulky!$C20</f>
        <v>0</v>
      </c>
      <c r="S20" s="119">
        <f>SUMPRODUCT(investice!$B:$B=$B20,investice!$M:$M=S$2,investice!$D:$D&lt;&gt;"[1]sdružená investice",investice!$G:$G)/pomocne_tabulky!$C20</f>
        <v>0</v>
      </c>
      <c r="V20" s="126"/>
    </row>
    <row r="21" spans="1:22" ht="14.65" customHeight="1">
      <c r="A21" s="122"/>
      <c r="B21" s="117">
        <v>2008</v>
      </c>
      <c r="C21" s="119">
        <f>SUMPRODUCT(investice!$B:$B=$B21,investice!$D:$D=C$2,investice!$G:$G)/pomocne_tabulky!$C21</f>
        <v>3847971.82100601</v>
      </c>
      <c r="D21" s="119">
        <f>SUMPRODUCT(investice!$B:$B=$B21,investice!$D:$D=D$2,investice!$G:$G)/pomocne_tabulky!$C21</f>
        <v>17732638.1425252</v>
      </c>
      <c r="E21" s="119">
        <f>SUMPRODUCT(investice!$B:$B=$B21,investice!$D:$D=E$2,investice!$G:$G)/pomocne_tabulky!$C21</f>
        <v>0</v>
      </c>
      <c r="F21" s="119">
        <f>SUMPRODUCT(investice!$B:$B=$B21,investice!$D:$D=F$2,investice!$G:$G)/pomocne_tabulky!$C21</f>
        <v>0</v>
      </c>
      <c r="G21" s="119">
        <f>SUM(C21:E21)</f>
        <v>21580609.9635313</v>
      </c>
      <c r="H21" s="119">
        <f>SUMPRODUCT(investice!$B:$B=$B21,investice!$D:$D=C$2,investice!$Q:$Q)*1000000/pomocne_tabulky!$C21</f>
        <v>675712.223424522</v>
      </c>
      <c r="I21" s="119">
        <f>SUMPRODUCT(investice!$B:$B=$B21,investice!$D:$D=D$2,investice!$P:$P)*1000000/pomocne_tabulky!$C21</f>
        <v>10182325.4340467</v>
      </c>
      <c r="J21" s="119">
        <f>H21+I21</f>
        <v>10858037.6574712</v>
      </c>
      <c r="K21" s="119">
        <f>G21-I21-H21</f>
        <v>10722572.3060601</v>
      </c>
      <c r="L21" s="120">
        <f>SUMPRODUCT(investice!$B:$B=$B21,investice!$F:$F)</f>
        <v>1.98</v>
      </c>
      <c r="M21" s="121">
        <f>SUMPRODUCT(investice!$B:$B=$B21,investice!$M:$M=M$2,investice!$G:$G)/pomocne_tabulky!$C21</f>
        <v>1479989.16192539</v>
      </c>
      <c r="N21" s="121">
        <f>SUMPRODUCT(investice!$B:$B=$B21,investice!$M:$M=N$2,investice!$G:$G)/pomocne_tabulky!$C21</f>
        <v>20100620.8016059</v>
      </c>
      <c r="O21" s="120">
        <f>SUMPRODUCT(investice!$B:$B=$B21,investice!$M:$M=O$2,investice!$F:$F)+O20</f>
        <v>11.28</v>
      </c>
      <c r="P21" s="120">
        <f>SUMPRODUCT(investice!$B:$B=$B21,investice!$M:$M=P$2,investice!$F:$F)+P20</f>
        <v>18.528</v>
      </c>
      <c r="Q21" s="117">
        <v>2008</v>
      </c>
      <c r="R21" s="119">
        <f>SUMPRODUCT(investice!$B:$B=$B21,investice!$M:$M=R$2,investice!$D:$D&lt;&gt;"[1]sdružená investice",investice!$G:$G)/pomocne_tabulky!$C21</f>
        <v>0</v>
      </c>
      <c r="S21" s="119">
        <f>SUMPRODUCT(investice!$B:$B=$B21,investice!$M:$M=S$2,investice!$D:$D&lt;&gt;"[1]sdružená investice",investice!$G:$G)/pomocne_tabulky!$C21</f>
        <v>17732638.1425252</v>
      </c>
      <c r="V21" s="126"/>
    </row>
    <row r="22" spans="1:22" ht="14.65" customHeight="1">
      <c r="A22" s="122"/>
      <c r="B22" s="117">
        <v>2009</v>
      </c>
      <c r="C22" s="119">
        <f>SUMPRODUCT(investice!$B:$B=$B22,investice!$D:$D=C$2,investice!$G:$G)/pomocne_tabulky!$C22</f>
        <v>0</v>
      </c>
      <c r="D22" s="119">
        <f>SUMPRODUCT(investice!$B:$B=$B22,investice!$D:$D=D$2,investice!$G:$G)/pomocne_tabulky!$C22</f>
        <v>14241310.5733795</v>
      </c>
      <c r="E22" s="119">
        <f>SUMPRODUCT(investice!$B:$B=$B22,investice!$D:$D=E$2,investice!$G:$G)/pomocne_tabulky!$C22</f>
        <v>0</v>
      </c>
      <c r="F22" s="119">
        <f>SUMPRODUCT(investice!$B:$B=$B22,investice!$D:$D=F$2,investice!$G:$G)/pomocne_tabulky!$C22</f>
        <v>0</v>
      </c>
      <c r="G22" s="119">
        <f>SUM(C22:E22)</f>
        <v>14241310.5733795</v>
      </c>
      <c r="H22" s="119">
        <f>SUMPRODUCT(investice!$B:$B=$B22,investice!$D:$D=C$2,investice!$Q:$Q)*1000000/pomocne_tabulky!$C22</f>
        <v>0</v>
      </c>
      <c r="I22" s="119">
        <f>SUMPRODUCT(investice!$B:$B=$B22,investice!$D:$D=D$2,investice!$P:$P)*1000000/pomocne_tabulky!$C22</f>
        <v>6822151.3578875</v>
      </c>
      <c r="J22" s="119">
        <f>H22+I22</f>
        <v>6822151.3578875</v>
      </c>
      <c r="K22" s="119">
        <f>G22-I22-H22</f>
        <v>7419159.21549202</v>
      </c>
      <c r="L22" s="120">
        <f>SUMPRODUCT(investice!$B:$B=$B22,investice!$F:$F)</f>
        <v>6.155</v>
      </c>
      <c r="M22" s="121">
        <f>SUMPRODUCT(investice!$B:$B=$B22,investice!$M:$M=M$2,investice!$G:$G)/pomocne_tabulky!$C22</f>
        <v>0</v>
      </c>
      <c r="N22" s="121">
        <f>SUMPRODUCT(investice!$B:$B=$B22,investice!$M:$M=N$2,investice!$G:$G)/pomocne_tabulky!$C22</f>
        <v>14241310.5733795</v>
      </c>
      <c r="O22" s="120">
        <f>SUMPRODUCT(investice!$B:$B=$B22,investice!$M:$M=O$2,investice!$F:$F)+O21</f>
        <v>11.28</v>
      </c>
      <c r="P22" s="120">
        <f>SUMPRODUCT(investice!$B:$B=$B22,investice!$M:$M=P$2,investice!$F:$F)+P21</f>
        <v>18.698</v>
      </c>
      <c r="Q22" s="117">
        <v>2009</v>
      </c>
      <c r="R22" s="119">
        <f>SUMPRODUCT(investice!$B:$B=$B22,investice!$M:$M=R$2,investice!$D:$D&lt;&gt;"[1]sdružená investice",investice!$G:$G)/pomocne_tabulky!$C22</f>
        <v>0</v>
      </c>
      <c r="S22" s="119">
        <f>SUMPRODUCT(investice!$B:$B=$B22,investice!$M:$M=S$2,investice!$D:$D&lt;&gt;"[1]sdružená investice",investice!$G:$G)/pomocne_tabulky!$C22</f>
        <v>14241310.5733795</v>
      </c>
      <c r="V22" s="126"/>
    </row>
    <row r="23" spans="1:23" ht="14.65" customHeight="1">
      <c r="A23" s="122"/>
      <c r="B23" s="118">
        <v>2010</v>
      </c>
      <c r="C23" s="119">
        <f>SUMPRODUCT(investice!$B:$B=$B23,investice!$D:$D=C$2,investice!$G:$G)/pomocne_tabulky!$C23</f>
        <v>0</v>
      </c>
      <c r="D23" s="119">
        <f>SUMPRODUCT(investice!$B:$B=$B23,investice!$D:$D=D$2,investice!$G:$G)/pomocne_tabulky!$C23</f>
        <v>27577537.1196917</v>
      </c>
      <c r="E23" s="119">
        <f>SUMPRODUCT(investice!$B:$B=$B23,investice!$D:$D=E$2,investice!$G:$G)/pomocne_tabulky!$C23</f>
        <v>794010.74603823</v>
      </c>
      <c r="F23" s="119">
        <f>SUMPRODUCT(investice!$B:$B=$B23,investice!$D:$D=F$2,investice!$G:$G)/pomocne_tabulky!$C23</f>
        <v>2233155.22323252</v>
      </c>
      <c r="G23" s="119">
        <f>SUM(C23:E23)</f>
        <v>28371547.8657299</v>
      </c>
      <c r="H23" s="119">
        <f>SUMPRODUCT(investice!$B:$B=$B23,investice!$D:$D=C$2,investice!$Q:$Q)*1000000/pomocne_tabulky!$C23</f>
        <v>0</v>
      </c>
      <c r="I23" s="119">
        <f>SUMPRODUCT(investice!$B:$B=$B23,investice!$D:$D=D$2,investice!$P:$P)*1000000/pomocne_tabulky!$C23</f>
        <v>24481998.0028454</v>
      </c>
      <c r="J23" s="119">
        <f>H23+I23</f>
        <v>24481998.0028454</v>
      </c>
      <c r="K23" s="119">
        <f>G23-I23-H23</f>
        <v>3889549.8628845</v>
      </c>
      <c r="L23" s="120">
        <f>SUMPRODUCT(investice!$B:$B=$B23,investice!$F:$F)</f>
        <v>6.37</v>
      </c>
      <c r="M23" s="121">
        <f>SUMPRODUCT(investice!$B:$B=$B23,investice!$M:$M=M$2,investice!$G:$G)/pomocne_tabulky!$C23</f>
        <v>3027165.96927075</v>
      </c>
      <c r="N23" s="121">
        <f>SUMPRODUCT(investice!$B:$B=$B23,investice!$M:$M=N$2,investice!$G:$G)/pomocne_tabulky!$C23</f>
        <v>27577537.1196917</v>
      </c>
      <c r="O23" s="120">
        <f>SUMPRODUCT(investice!$B:$B=$B23,investice!$M:$M=O$2,investice!$F:$F)+O22</f>
        <v>14.93</v>
      </c>
      <c r="P23" s="120">
        <f>SUMPRODUCT(investice!$B:$B=$B23,investice!$M:$M=P$2,investice!$F:$F)+P22</f>
        <v>20.598</v>
      </c>
      <c r="Q23" s="117">
        <v>2010</v>
      </c>
      <c r="R23" s="119">
        <f>SUMPRODUCT(investice!$B:$B=$B23,investice!$M:$M=R$2,investice!$D:$D&lt;&gt;"[1]sdružená investice",investice!$G:$G)/pomocne_tabulky!$C23</f>
        <v>3027165.96927075</v>
      </c>
      <c r="S23" s="119">
        <f>SUMPRODUCT(investice!$B:$B=$B23,investice!$M:$M=S$2,investice!$D:$D&lt;&gt;"[1]sdružená investice",investice!$G:$G)/pomocne_tabulky!$C23</f>
        <v>27577537.1196917</v>
      </c>
      <c r="T23" s="125">
        <f>SUM(R20:R23)/4/1000000</f>
        <v>0.756791492317688</v>
      </c>
      <c r="U23" s="125">
        <f>SUM(S20:S23)/4/1000000</f>
        <v>14.8878714588991</v>
      </c>
      <c r="V23" s="126">
        <f>SUM(T23:U23)</f>
        <v>15.6446629512168</v>
      </c>
      <c r="W23" t="s">
        <v>555</v>
      </c>
    </row>
    <row r="24" spans="1:22" ht="14.65" customHeight="1">
      <c r="A24" s="122"/>
      <c r="B24" s="117">
        <v>2011</v>
      </c>
      <c r="C24" s="119">
        <f>SUMPRODUCT(investice!$B:$B=$B24,investice!$D:$D=C$2,investice!$G:$G)/pomocne_tabulky!$C24</f>
        <v>1124522.60830537</v>
      </c>
      <c r="D24" s="119">
        <f>SUMPRODUCT(investice!$B:$B=$B24,investice!$D:$D=D$2,investice!$G:$G)/pomocne_tabulky!$C24</f>
        <v>22176455.032001</v>
      </c>
      <c r="E24" s="119">
        <f>SUMPRODUCT(investice!$B:$B=$B24,investice!$D:$D=E$2,investice!$G:$G)/pomocne_tabulky!$C24</f>
        <v>148849.852500325</v>
      </c>
      <c r="F24" s="119">
        <f>SUMPRODUCT(investice!$B:$B=$B24,investice!$D:$D=F$2,investice!$G:$G)/pomocne_tabulky!$C24</f>
        <v>0</v>
      </c>
      <c r="G24" s="119">
        <f>SUM(C24:E24)</f>
        <v>23449827.4928067</v>
      </c>
      <c r="H24" s="119">
        <f>SUMPRODUCT(investice!$B:$B=$B24,investice!$D:$D=C$2,investice!$Q:$Q)*1000000/pomocne_tabulky!$C24</f>
        <v>926907.90518516</v>
      </c>
      <c r="I24" s="119">
        <f>SUMPRODUCT(investice!$B:$B=$B24,investice!$D:$D=D$2,investice!$P:$P)*1000000/pomocne_tabulky!$C24</f>
        <v>0</v>
      </c>
      <c r="J24" s="119">
        <f>H24+I24</f>
        <v>926907.90518516</v>
      </c>
      <c r="K24" s="119">
        <f>G24-I24-H24</f>
        <v>22522919.5876215</v>
      </c>
      <c r="L24" s="120">
        <f>SUMPRODUCT(investice!$B:$B=$B24,investice!$F:$F)</f>
        <v>2.87</v>
      </c>
      <c r="M24" s="121">
        <f>SUMPRODUCT(investice!$B:$B=$B24,investice!$M:$M=M$2,investice!$G:$G)/pomocne_tabulky!$C24</f>
        <v>328121.57266495</v>
      </c>
      <c r="N24" s="121">
        <f>SUMPRODUCT(investice!$B:$B=$B24,investice!$M:$M=N$2,investice!$G:$G)/pomocne_tabulky!$C24</f>
        <v>23121705.9201417</v>
      </c>
      <c r="O24" s="120">
        <f>SUMPRODUCT(investice!$B:$B=$B24,investice!$M:$M=O$2,investice!$F:$F)+O23</f>
        <v>15.755</v>
      </c>
      <c r="P24" s="120">
        <f>SUMPRODUCT(investice!$B:$B=$B24,investice!$M:$M=P$2,investice!$F:$F)+P23</f>
        <v>22.643</v>
      </c>
      <c r="Q24" s="117">
        <v>2011</v>
      </c>
      <c r="R24" s="119">
        <f>SUMPRODUCT(investice!$B:$B=$B24,investice!$M:$M=R$2,investice!$D:$D&lt;&gt;"[1]sdružená investice",investice!$G:$G)/pomocne_tabulky!$C24</f>
        <v>148849.852500325</v>
      </c>
      <c r="S24" s="119">
        <f>SUMPRODUCT(investice!$B:$B=$B24,investice!$M:$M=S$2,investice!$D:$D&lt;&gt;"[1]sdružená investice",investice!$G:$G)/pomocne_tabulky!$C24</f>
        <v>22176455.032001</v>
      </c>
      <c r="V24" s="126"/>
    </row>
    <row r="25" spans="1:22" ht="14.65" customHeight="1">
      <c r="A25" s="122"/>
      <c r="B25" s="117">
        <v>2012</v>
      </c>
      <c r="C25" s="119">
        <f>SUMPRODUCT(investice!$B:$B=$B25,investice!$D:$D=C$2,investice!$G:$G)/pomocne_tabulky!$C25</f>
        <v>7943463.97375</v>
      </c>
      <c r="D25" s="119">
        <f>SUMPRODUCT(investice!$B:$B=$B25,investice!$D:$D=D$2,investice!$G:$G)/pomocne_tabulky!$C25</f>
        <v>23606482.1985</v>
      </c>
      <c r="E25" s="119">
        <f>SUMPRODUCT(investice!$B:$B=$B25,investice!$D:$D=E$2,investice!$G:$G)/pomocne_tabulky!$C25</f>
        <v>21324.7355</v>
      </c>
      <c r="F25" s="119">
        <f>SUMPRODUCT(investice!$B:$B=$B25,investice!$D:$D=F$2,investice!$G:$G)/pomocne_tabulky!$C25</f>
        <v>767690.478</v>
      </c>
      <c r="G25" s="119">
        <f>SUM(C25:E25)</f>
        <v>31571270.90775</v>
      </c>
      <c r="H25" s="119">
        <f>SUMPRODUCT(investice!$B:$B=$B25,investice!$D:$D=C$2,investice!$Q:$Q)*1000000/pomocne_tabulky!$C25</f>
        <v>0</v>
      </c>
      <c r="I25" s="119">
        <f>SUMPRODUCT(investice!$B:$B=$B25,investice!$D:$D=D$2,investice!$P:$P)*1000000/pomocne_tabulky!$C25</f>
        <v>494733.8636</v>
      </c>
      <c r="J25" s="119">
        <f>H25+I25</f>
        <v>494733.8636</v>
      </c>
      <c r="K25" s="119">
        <f>G25-I25-H25</f>
        <v>31076537.04415</v>
      </c>
      <c r="L25" s="120">
        <f>SUMPRODUCT(investice!$B:$B=$B25,investice!$F:$F)</f>
        <v>6.571</v>
      </c>
      <c r="M25" s="121">
        <f>SUMPRODUCT(investice!$B:$B=$B25,investice!$M:$M=M$2,investice!$G:$G)/pomocne_tabulky!$C25</f>
        <v>9041687.852</v>
      </c>
      <c r="N25" s="121">
        <f>SUMPRODUCT(investice!$B:$B=$B25,investice!$M:$M=N$2,investice!$G:$G)/pomocne_tabulky!$C25</f>
        <v>23297273.53375</v>
      </c>
      <c r="O25" s="120">
        <f>SUMPRODUCT(investice!$B:$B=$B25,investice!$M:$M=O$2,investice!$F:$F)+O24</f>
        <v>18.935</v>
      </c>
      <c r="P25" s="120">
        <f>SUMPRODUCT(investice!$B:$B=$B25,investice!$M:$M=P$2,investice!$F:$F)+P24</f>
        <v>26.006</v>
      </c>
      <c r="Q25" s="117">
        <v>2012</v>
      </c>
      <c r="R25" s="119">
        <f>SUMPRODUCT(investice!$B:$B=$B25,investice!$M:$M=R$2,investice!$D:$D&lt;&gt;"[1]sdružená investice",investice!$G:$G)/pomocne_tabulky!$C25</f>
        <v>1098223.87825</v>
      </c>
      <c r="S25" s="119">
        <f>SUMPRODUCT(investice!$B:$B=$B25,investice!$M:$M=S$2,investice!$D:$D&lt;&gt;"[1]sdružená investice",investice!$G:$G)/pomocne_tabulky!$C25</f>
        <v>23297273.53375</v>
      </c>
      <c r="V25" s="126"/>
    </row>
    <row r="26" spans="1:22" ht="14.65" customHeight="1">
      <c r="A26" s="122"/>
      <c r="B26" s="117">
        <v>2013</v>
      </c>
      <c r="C26" s="119">
        <f>SUMPRODUCT(investice!$B:$B=$B26,investice!$D:$D=C$2,investice!$G:$G)/pomocne_tabulky!$C26</f>
        <v>17759986.92</v>
      </c>
      <c r="D26" s="119">
        <f>SUMPRODUCT(investice!$B:$B=$B26,investice!$D:$D=D$2,investice!$G:$G)/pomocne_tabulky!$C26</f>
        <v>0</v>
      </c>
      <c r="E26" s="119">
        <f>SUMPRODUCT(investice!$B:$B=$B26,investice!$D:$D=E$2,investice!$G:$G)/pomocne_tabulky!$C26</f>
        <v>1615654.872</v>
      </c>
      <c r="F26" s="119">
        <f>SUMPRODUCT(investice!$B:$B=$B26,investice!$D:$D=F$2,investice!$G:$G)/pomocne_tabulky!$C26</f>
        <v>186304.248</v>
      </c>
      <c r="G26" s="119">
        <f>SUM(C26:E26)</f>
        <v>19375641.792</v>
      </c>
      <c r="H26" s="119">
        <f>SUMPRODUCT(investice!$B:$B=$B26,investice!$D:$D=C$2,investice!$Q:$Q)*1000000/pomocne_tabulky!$C26</f>
        <v>1146265.76317693</v>
      </c>
      <c r="I26" s="119">
        <f>SUMPRODUCT(investice!$B:$B=$B26,investice!$D:$D=D$2,investice!$P:$P)*1000000/pomocne_tabulky!$C26</f>
        <v>0</v>
      </c>
      <c r="J26" s="119">
        <f>H26+I26</f>
        <v>1146265.76317693</v>
      </c>
      <c r="K26" s="119">
        <f>G26-I26-H26</f>
        <v>18229376.0288231</v>
      </c>
      <c r="L26" s="120">
        <f>SUMPRODUCT(investice!$B:$B=$B26,investice!$F:$F)</f>
        <v>5.337</v>
      </c>
      <c r="M26" s="121">
        <f>SUMPRODUCT(investice!$B:$B=$B26,investice!$M:$M=M$2,investice!$G:$G)/pomocne_tabulky!$C26</f>
        <v>4800134.04</v>
      </c>
      <c r="N26" s="121">
        <f>SUMPRODUCT(investice!$B:$B=$B26,investice!$M:$M=N$2,investice!$G:$G)/pomocne_tabulky!$C26</f>
        <v>14761812</v>
      </c>
      <c r="O26" s="120">
        <f>SUMPRODUCT(investice!$B:$B=$B26,investice!$M:$M=O$2,investice!$F:$F)+O25</f>
        <v>24.235</v>
      </c>
      <c r="P26" s="120">
        <f>SUMPRODUCT(investice!$B:$B=$B26,investice!$M:$M=P$2,investice!$F:$F)+P25</f>
        <v>26.043</v>
      </c>
      <c r="Q26" s="117">
        <v>2013</v>
      </c>
      <c r="R26" s="119">
        <f>SUMPRODUCT(investice!$B:$B=$B26,investice!$M:$M=R$2,investice!$D:$D&lt;&gt;"[1]sdružená investice",investice!$G:$G)/pomocne_tabulky!$C26</f>
        <v>1801959.12</v>
      </c>
      <c r="S26" s="119">
        <f>SUMPRODUCT(investice!$B:$B=$B26,investice!$M:$M=S$2,investice!$D:$D&lt;&gt;"[1]sdružená investice",investice!$G:$G)/pomocne_tabulky!$C26</f>
        <v>0</v>
      </c>
      <c r="V26" s="126"/>
    </row>
    <row r="27" spans="1:23" ht="14.65" customHeight="1">
      <c r="A27" s="122"/>
      <c r="B27" s="118">
        <v>2014</v>
      </c>
      <c r="C27" s="119">
        <f>SUMPRODUCT(investice!$B:$B=$B27,investice!$D:$D=C$2,investice!$G:$G)/pomocne_tabulky!$C27</f>
        <v>1004000</v>
      </c>
      <c r="D27" s="119">
        <f>SUMPRODUCT(investice!$B:$B=$B27,investice!$D:$D=D$2,investice!$G:$G)/pomocne_tabulky!$C27</f>
        <v>0</v>
      </c>
      <c r="E27" s="119">
        <f>SUMPRODUCT(investice!$B:$B=$B27,investice!$D:$D=E$2,investice!$G:$G)/pomocne_tabulky!$C27</f>
        <v>321280</v>
      </c>
      <c r="F27" s="119">
        <f>SUMPRODUCT(investice!$B:$B=$B27,investice!$D:$D=F$2,investice!$G:$G)/pomocne_tabulky!$C27</f>
        <v>289152</v>
      </c>
      <c r="G27" s="119">
        <f>SUM(C27:E27)</f>
        <v>1325280</v>
      </c>
      <c r="H27" s="119">
        <f>SUMPRODUCT(investice!$B:$B=$B27,investice!$D:$D=C$2,investice!$Q:$Q)*1000000/pomocne_tabulky!$C27</f>
        <v>0</v>
      </c>
      <c r="I27" s="119">
        <f>SUMPRODUCT(investice!$B:$B=$B27,investice!$D:$D=D$2,investice!$P:$P)*1000000/pomocne_tabulky!$C27</f>
        <v>0</v>
      </c>
      <c r="J27" s="119">
        <f>H27+I27</f>
        <v>0</v>
      </c>
      <c r="K27" s="119">
        <f>G27-I27-H27</f>
        <v>1325280</v>
      </c>
      <c r="L27" s="120">
        <f>SUMPRODUCT(investice!$B:$B=$B27,investice!$F:$F)</f>
        <v>4.65</v>
      </c>
      <c r="M27" s="121">
        <f>SUMPRODUCT(investice!$B:$B=$B27,investice!$M:$M=M$2,investice!$G:$G)/pomocne_tabulky!$C27</f>
        <v>1614432</v>
      </c>
      <c r="N27" s="121">
        <f>SUMPRODUCT(investice!$B:$B=$B27,investice!$M:$M=N$2,investice!$G:$G)/pomocne_tabulky!$C27</f>
        <v>0</v>
      </c>
      <c r="O27" s="120">
        <f>SUMPRODUCT(investice!$B:$B=$B27,investice!$M:$M=O$2,investice!$F:$F)+O26</f>
        <v>28.085</v>
      </c>
      <c r="P27" s="120">
        <f>SUMPRODUCT(investice!$B:$B=$B27,investice!$M:$M=P$2,investice!$F:$F)+P26</f>
        <v>26.043</v>
      </c>
      <c r="Q27" s="117">
        <v>2014</v>
      </c>
      <c r="R27" s="119">
        <f>SUMPRODUCT(investice!$B:$B=$B27,investice!$M:$M=R$2,investice!$D:$D&lt;&gt;"[1]sdružená investice",investice!$G:$G)/pomocne_tabulky!$C27</f>
        <v>610432</v>
      </c>
      <c r="S27" s="119">
        <f>SUMPRODUCT(investice!$B:$B=$B27,investice!$M:$M=S$2,investice!$D:$D&lt;&gt;"[1]sdružená investice",investice!$G:$G)/pomocne_tabulky!$C27</f>
        <v>0</v>
      </c>
      <c r="T27" s="125">
        <f>SUM(R24:R27)/4/1000000</f>
        <v>0.914866212687581</v>
      </c>
      <c r="U27" s="125">
        <f>SUM(S24:S27)/4/1000000</f>
        <v>11.3684321414377</v>
      </c>
      <c r="V27" s="126">
        <f>SUM(T27:U27)</f>
        <v>12.2832983541253</v>
      </c>
      <c r="W27" t="s">
        <v>555</v>
      </c>
    </row>
    <row r="28" spans="1:22" ht="14.65" customHeight="1">
      <c r="A28" s="122" t="s">
        <v>556</v>
      </c>
      <c r="B28" s="117">
        <v>2015</v>
      </c>
      <c r="C28" s="119">
        <f>SUMPRODUCT(investice!$B:$B=$B28,investice!$D:$D=C$2,investice!$G:$G)/pomocne_tabulky!$C28</f>
        <v>30000</v>
      </c>
      <c r="D28" s="119">
        <f>SUMPRODUCT(investice!$B:$B=$B28,investice!$D:$D=D$2,investice!$G:$G)/pomocne_tabulky!$C28</f>
        <v>22823000</v>
      </c>
      <c r="E28" s="119">
        <f>SUMPRODUCT(investice!$B:$B=$B28,investice!$D:$D=E$2,investice!$G:$G)/pomocne_tabulky!$C28</f>
        <v>130000</v>
      </c>
      <c r="F28" s="119">
        <f>SUMPRODUCT(investice!$B:$B=$B28,investice!$D:$D=F$2,investice!$G:$G)/pomocne_tabulky!$C28</f>
        <v>50000</v>
      </c>
      <c r="G28" s="119">
        <f>SUM(C28:E28)</f>
        <v>22983000</v>
      </c>
      <c r="H28" s="119">
        <f>SUMPRODUCT(investice!$B:$B=$B28,investice!$D:$D=C$2,investice!$Q:$Q)*1000000/pomocne_tabulky!$C28</f>
        <v>0</v>
      </c>
      <c r="I28" s="119">
        <f>SUMPRODUCT(investice!$B:$B=$B28,investice!$D:$D=D$2,investice!$P:$P)*1000000/pomocne_tabulky!$C28</f>
        <v>20540700</v>
      </c>
      <c r="J28" s="119">
        <f>H28+I28</f>
        <v>20540700</v>
      </c>
      <c r="K28" s="119">
        <f>G28-I28-H28</f>
        <v>2442300</v>
      </c>
      <c r="L28" s="120">
        <f>SUMPRODUCT(investice!$B:$B=$B28,investice!$F:$F)</f>
        <v>8.07</v>
      </c>
      <c r="M28" s="121">
        <f>SUMPRODUCT(investice!$B:$B=$B28,investice!$M:$M=M$2,investice!$G:$G)/pomocne_tabulky!$C28</f>
        <v>210000</v>
      </c>
      <c r="N28" s="121">
        <f>SUMPRODUCT(investice!$B:$B=$B28,investice!$M:$M=N$2,investice!$G:$G)/pomocne_tabulky!$C28</f>
        <v>22823000</v>
      </c>
      <c r="O28" s="120">
        <f>SUMPRODUCT(investice!$B:$B=$B28,investice!$M:$M=O$2,investice!$F:$F)+O27</f>
        <v>32.155</v>
      </c>
      <c r="P28" s="120">
        <f>SUMPRODUCT(investice!$B:$B=$B28,investice!$M:$M=P$2,investice!$F:$F)+P27</f>
        <v>30.043</v>
      </c>
      <c r="Q28" s="117">
        <v>2015</v>
      </c>
      <c r="R28" s="119">
        <f>SUMPRODUCT(investice!$B:$B=$B28,investice!$M:$M=R$2,investice!$D:$D&lt;&gt;"[1]sdružená investice",investice!$G:$G)/pomocne_tabulky!$C28</f>
        <v>180000</v>
      </c>
      <c r="S28" s="119">
        <f>SUMPRODUCT(investice!$B:$B=$B28,investice!$M:$M=S$2,investice!$D:$D&lt;&gt;"[1]sdružená investice",investice!$G:$G)/pomocne_tabulky!$C28</f>
        <v>22823000</v>
      </c>
      <c r="V28" s="126"/>
    </row>
    <row r="29" spans="1:22" ht="14.65" customHeight="1">
      <c r="A29" s="122"/>
      <c r="B29" s="117">
        <v>2016</v>
      </c>
      <c r="C29" s="119">
        <f>SUMPRODUCT(investice!$B:$B=$B29,investice!$D:$D=C$2,investice!$G:$G)/pomocne_tabulky!$C29</f>
        <v>0</v>
      </c>
      <c r="D29" s="119">
        <f>SUMPRODUCT(investice!$B:$B=$B29,investice!$D:$D=D$2,investice!$G:$G)/pomocne_tabulky!$C29</f>
        <v>196113.25</v>
      </c>
      <c r="E29" s="119">
        <f>SUMPRODUCT(investice!$B:$B=$B29,investice!$D:$D=E$2,investice!$G:$G)/pomocne_tabulky!$C29</f>
        <v>82574</v>
      </c>
      <c r="F29" s="119">
        <f>SUMPRODUCT(investice!$B:$B=$B29,investice!$D:$D=F$2,investice!$G:$G)/pomocne_tabulky!$C29</f>
        <v>0</v>
      </c>
      <c r="G29" s="119">
        <f>SUM(C29:E29)</f>
        <v>278687.25</v>
      </c>
      <c r="H29" s="119">
        <f>SUMPRODUCT(investice!$B:$B=$B29,investice!$D:$D=C$2,investice!$Q:$Q)*1000000/pomocne_tabulky!$C29</f>
        <v>0</v>
      </c>
      <c r="I29" s="119">
        <f>SUMPRODUCT(investice!$B:$B=$B29,investice!$D:$D=D$2,investice!$P:$P)*1000000/pomocne_tabulky!$C29</f>
        <v>0</v>
      </c>
      <c r="J29" s="119">
        <f>H29+I29</f>
        <v>0</v>
      </c>
      <c r="K29" s="119">
        <f>G29-I29-H29</f>
        <v>278687.25</v>
      </c>
      <c r="L29" s="120">
        <f>SUMPRODUCT(investice!$B:$B=$B29,investice!$F:$F)</f>
        <v>0.52</v>
      </c>
      <c r="M29" s="121">
        <f>SUMPRODUCT(investice!$B:$B=$B29,investice!$M:$M=M$2,investice!$G:$G)/pomocne_tabulky!$C29</f>
        <v>278687.25</v>
      </c>
      <c r="N29" s="121">
        <f>SUMPRODUCT(investice!$B:$B=$B29,investice!$M:$M=N$2,investice!$G:$G)/pomocne_tabulky!$C29</f>
        <v>0</v>
      </c>
      <c r="O29" s="120">
        <f>SUMPRODUCT(investice!$B:$B=$B29,investice!$M:$M=O$2,investice!$F:$F)+O28</f>
        <v>32.655</v>
      </c>
      <c r="P29" s="120">
        <f>SUMPRODUCT(investice!$B:$B=$B29,investice!$M:$M=P$2,investice!$F:$F)+P28</f>
        <v>30.043</v>
      </c>
      <c r="Q29" s="117">
        <v>2016</v>
      </c>
      <c r="R29" s="119">
        <f>SUMPRODUCT(investice!$B:$B=$B29,investice!$M:$M=R$2,investice!$D:$D&lt;&gt;"[1]sdružená investice",investice!$G:$G)/pomocne_tabulky!$C29</f>
        <v>278687.25</v>
      </c>
      <c r="S29" s="119">
        <f>SUMPRODUCT(investice!$B:$B=$B29,investice!$M:$M=S$2,investice!$D:$D&lt;&gt;"[1]sdružená investice",investice!$G:$G)/pomocne_tabulky!$C29</f>
        <v>0</v>
      </c>
      <c r="V29" s="126"/>
    </row>
    <row r="30" spans="1:22" ht="14.65" customHeight="1">
      <c r="A30" s="122"/>
      <c r="B30" s="117">
        <v>2017</v>
      </c>
      <c r="C30" s="119">
        <f>SUMPRODUCT(investice!$B:$B=$B30,investice!$D:$D=C$2,investice!$G:$G)/pomocne_tabulky!$C30</f>
        <v>30750</v>
      </c>
      <c r="D30" s="119">
        <f>SUMPRODUCT(investice!$B:$B=$B30,investice!$D:$D=D$2,investice!$G:$G)/pomocne_tabulky!$C30</f>
        <v>2029500</v>
      </c>
      <c r="E30" s="119">
        <f>SUMPRODUCT(investice!$B:$B=$B30,investice!$D:$D=E$2,investice!$G:$G)/pomocne_tabulky!$C30</f>
        <v>3321000</v>
      </c>
      <c r="F30" s="119">
        <f>SUMPRODUCT(investice!$B:$B=$B30,investice!$D:$D=F$2,investice!$G:$G)/pomocne_tabulky!$C30</f>
        <v>0</v>
      </c>
      <c r="G30" s="119">
        <f>SUM(C30:E30)</f>
        <v>5381250</v>
      </c>
      <c r="H30" s="119">
        <f>SUMPRODUCT(investice!$B:$B=$B30,investice!$D:$D=C$2,investice!$Q:$Q)*1000000/pomocne_tabulky!$C30</f>
        <v>0</v>
      </c>
      <c r="I30" s="119">
        <f>SUMPRODUCT(investice!$B:$B=$B30,investice!$D:$D=D$2,investice!$P:$P)*1000000/pomocne_tabulky!$C30</f>
        <v>0</v>
      </c>
      <c r="J30" s="119">
        <f>H30+I30</f>
        <v>0</v>
      </c>
      <c r="K30" s="119">
        <f>G30-I30-H30</f>
        <v>5381250</v>
      </c>
      <c r="L30" s="120">
        <f>SUMPRODUCT(investice!$B:$B=$B30,investice!$F:$F)</f>
        <v>5.4</v>
      </c>
      <c r="M30" s="121">
        <f>SUMPRODUCT(investice!$B:$B=$B30,investice!$M:$M=M$2,investice!$G:$G)/pomocne_tabulky!$C30</f>
        <v>3864250</v>
      </c>
      <c r="N30" s="121">
        <f>SUMPRODUCT(investice!$B:$B=$B30,investice!$M:$M=N$2,investice!$G:$G)/pomocne_tabulky!$C30</f>
        <v>1517000</v>
      </c>
      <c r="O30" s="120">
        <f>SUMPRODUCT(investice!$B:$B=$B30,investice!$M:$M=O$2,investice!$F:$F)+O29</f>
        <v>37.555</v>
      </c>
      <c r="P30" s="120">
        <f>SUMPRODUCT(investice!$B:$B=$B30,investice!$M:$M=P$2,investice!$F:$F)+P29</f>
        <v>30.543</v>
      </c>
      <c r="Q30" s="117">
        <v>2017</v>
      </c>
      <c r="R30" s="119">
        <f>SUMPRODUCT(investice!$B:$B=$B30,investice!$M:$M=R$2,investice!$D:$D&lt;&gt;"[1]sdružená investice",investice!$G:$G)/pomocne_tabulky!$C30</f>
        <v>3833500</v>
      </c>
      <c r="S30" s="119">
        <f>SUMPRODUCT(investice!$B:$B=$B30,investice!$M:$M=S$2,investice!$D:$D&lt;&gt;"[1]sdružená investice",investice!$G:$G)/pomocne_tabulky!$C30</f>
        <v>1517000</v>
      </c>
      <c r="V30" s="126"/>
    </row>
    <row r="31" spans="1:23" ht="14.65" customHeight="1">
      <c r="A31" s="122"/>
      <c r="B31" s="117">
        <v>2018</v>
      </c>
      <c r="C31" s="119">
        <f>SUMPRODUCT(investice!$B:$B=$B31,investice!$D:$D=C$2,investice!$G:$G)/pomocne_tabulky!$C31</f>
        <v>30000</v>
      </c>
      <c r="D31" s="119">
        <f>SUMPRODUCT(investice!$B:$B=$B31,investice!$D:$D=D$2,investice!$G:$G)/pomocne_tabulky!$C31</f>
        <v>0</v>
      </c>
      <c r="E31" s="119">
        <f>SUMPRODUCT(investice!$B:$B=$B31,investice!$D:$D=E$2,investice!$G:$G)/pomocne_tabulky!$C31</f>
        <v>2447517</v>
      </c>
      <c r="F31" s="119">
        <f>SUMPRODUCT(investice!$B:$B=$B31,investice!$D:$D=F$2,investice!$G:$G)/pomocne_tabulky!$C31</f>
        <v>0</v>
      </c>
      <c r="G31" s="119">
        <f>SUM(C31:E31)</f>
        <v>2477517</v>
      </c>
      <c r="H31" s="119">
        <f>SUMPRODUCT(investice!$B:$B=$B31,investice!$D:$D=C$2,investice!$Q:$Q)*1000000/pomocne_tabulky!$C31</f>
        <v>0</v>
      </c>
      <c r="I31" s="119">
        <f>SUMPRODUCT(investice!$B:$B=$B31,investice!$D:$D=D$2,investice!$P:$P)*1000000/pomocne_tabulky!$C31</f>
        <v>0</v>
      </c>
      <c r="J31" s="119">
        <f>H31+I31</f>
        <v>0</v>
      </c>
      <c r="K31" s="119">
        <f>G31-I31-H31</f>
        <v>2477517</v>
      </c>
      <c r="L31" s="120">
        <f>SUMPRODUCT(investice!$B:$B=$B31,investice!$F:$F)</f>
        <v>2.7</v>
      </c>
      <c r="M31" s="121">
        <f>SUMPRODUCT(investice!$B:$B=$B31,investice!$M:$M=M$2,investice!$G:$G)/pomocne_tabulky!$C31</f>
        <v>2477517</v>
      </c>
      <c r="N31" s="121">
        <f>SUMPRODUCT(investice!$B:$B=$B31,investice!$M:$M=N$2,investice!$G:$G)/pomocne_tabulky!$C31</f>
        <v>0</v>
      </c>
      <c r="O31" s="120">
        <f>SUMPRODUCT(investice!$B:$B=$B31,investice!$M:$M=O$2,investice!$F:$F)+O30</f>
        <v>40.255</v>
      </c>
      <c r="P31" s="120">
        <f>SUMPRODUCT(investice!$B:$B=$B31,investice!$M:$M=P$2,investice!$F:$F)+P30</f>
        <v>30.543</v>
      </c>
      <c r="Q31" s="117">
        <v>2018</v>
      </c>
      <c r="R31" s="119">
        <f>SUMPRODUCT(investice!$B:$B=$B31,investice!$M:$M=R$2,investice!$D:$D&lt;&gt;"[1]sdružená investice",investice!$G:$G)/pomocne_tabulky!$C31</f>
        <v>2447517</v>
      </c>
      <c r="S31" s="119">
        <f>SUMPRODUCT(investice!$B:$B=$B31,investice!$M:$M=S$2,investice!$D:$D&lt;&gt;"[1]sdružená investice",investice!$G:$G)/pomocne_tabulky!$C31</f>
        <v>0</v>
      </c>
      <c r="T31" s="125">
        <f>SUM(R28:R31)/4/1000000</f>
        <v>1.6849260625</v>
      </c>
      <c r="U31" s="125">
        <f>SUM(S28:S31)/4/1000000</f>
        <v>6.085</v>
      </c>
      <c r="V31" s="126">
        <f>SUM(T31:U31)</f>
        <v>7.7699260625</v>
      </c>
      <c r="W31" t="s">
        <v>557</v>
      </c>
    </row>
    <row r="32" spans="3:21" ht="14.65" customHeight="1">
      <c r="C32" s="124">
        <f>SUM(C3:C31)</f>
        <v>68448318.8489654</v>
      </c>
      <c r="D32" s="124">
        <f>SUM(D3:D31)</f>
        <v>218178365.959438</v>
      </c>
      <c r="E32" s="124">
        <f>SUM(E3:E31)</f>
        <v>10059119.2803915</v>
      </c>
      <c r="F32" s="124">
        <f>SUM(F3:F31)</f>
        <v>3526301.94923252</v>
      </c>
      <c r="G32" s="124"/>
      <c r="H32" s="124"/>
      <c r="I32" s="124"/>
      <c r="J32" s="124">
        <f>SUM(J3:J31)</f>
        <v>83003341.3974613</v>
      </c>
      <c r="K32" s="124">
        <f>SUM(K3:K31)</f>
        <v>213682462.691334</v>
      </c>
      <c r="M32" s="124">
        <f>SUM(M3:M31)</f>
        <v>74555692.1868827</v>
      </c>
      <c r="N32" s="124">
        <f>SUM(N3:N31)</f>
        <v>225656413.851145</v>
      </c>
      <c r="R32" s="124">
        <f>SUM(R3:R31)</f>
        <v>29028767.0489863</v>
      </c>
      <c r="S32" s="124">
        <f>SUM(S3:S31)</f>
        <v>202735020.140076</v>
      </c>
      <c r="T32" s="123"/>
      <c r="U32" s="123"/>
    </row>
    <row r="84" ht="14.65" customHeight="1"/>
    <row r="86" ht="14.65" customHeight="1"/>
    <row r="100" ht="14.65" customHeight="1"/>
    <row r="1048573" ht="12.8" customHeight="1"/>
    <row r="1048574" ht="12.8" customHeight="1"/>
    <row r="1048575" ht="12.8" customHeight="1"/>
    <row r="1048576" ht="12.8" customHeight="1"/>
  </sheetData>
  <mergeCells count="6">
    <mergeCell ref="A5:A7"/>
    <mergeCell ref="A8:A11"/>
    <mergeCell ref="A12:A17"/>
    <mergeCell ref="A18:A19"/>
    <mergeCell ref="A20:A27"/>
    <mergeCell ref="A28:A31"/>
  </mergeCells>
  <printOptions/>
  <pageMargins left="0.747916666666667" right="0.747916666666667" top="0.984027777777778" bottom="0.984027777777778" header="0.511805555555555" footer="0.511805555555555"/>
  <pageSetup horizontalDpi="300" verticalDpi="300" orientation="landscape" paperSize="8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B31" sqref="B31"/>
    </sheetView>
  </sheetViews>
  <sheetFormatPr defaultColWidth="9.140625" defaultRowHeight="12.75"/>
  <cols>
    <col min="1" max="1" width="5.8515625" style="0" customWidth="1"/>
    <col min="2" max="2" width="16.57421875" style="0" customWidth="1"/>
    <col min="3" max="3" width="16.140625" style="0" customWidth="1"/>
    <col min="4" max="4" width="22.140625" style="0" customWidth="1"/>
    <col min="5" max="5" width="17.8515625" style="0" customWidth="1"/>
    <col min="6" max="7" width="16.8515625" style="0" customWidth="1"/>
    <col min="8" max="8" width="17.8515625" style="0" customWidth="1"/>
    <col min="9" max="9" width="19.00390625" style="0" customWidth="1"/>
    <col min="11" max="11" width="13.140625" style="0" customWidth="1"/>
  </cols>
  <sheetData>
    <row r="1" spans="1:6" ht="15.75" customHeight="1">
      <c r="A1" s="127" t="s">
        <v>558</v>
      </c>
      <c r="B1" s="128"/>
      <c r="C1" s="128"/>
      <c r="E1" s="127" t="s">
        <v>559</v>
      </c>
      <c r="F1" t="s">
        <v>560</v>
      </c>
    </row>
    <row r="2" spans="1:10" ht="12.75" customHeight="1">
      <c r="A2" s="5" t="s">
        <v>539</v>
      </c>
      <c r="B2" s="5" t="s">
        <v>561</v>
      </c>
      <c r="C2" s="5" t="s">
        <v>562</v>
      </c>
      <c r="E2" t="s">
        <v>563</v>
      </c>
      <c r="F2" t="s">
        <v>564</v>
      </c>
      <c r="G2" t="s">
        <v>565</v>
      </c>
      <c r="H2" t="s">
        <v>566</v>
      </c>
      <c r="I2" t="s">
        <v>567</v>
      </c>
      <c r="J2" t="s">
        <v>568</v>
      </c>
    </row>
    <row r="3" spans="1:3" ht="14.65" customHeight="1">
      <c r="A3" s="129">
        <v>1990</v>
      </c>
      <c r="B3" s="129">
        <v>9.7</v>
      </c>
      <c r="C3" s="130">
        <f>C4/(1+B3*0.01)</f>
        <v>0.186979633317857</v>
      </c>
    </row>
    <row r="4" spans="1:3" ht="14.65" customHeight="1">
      <c r="A4" s="129">
        <v>1991</v>
      </c>
      <c r="B4" s="129">
        <v>56.6</v>
      </c>
      <c r="C4" s="130">
        <f>C5/(1+B4*0.01)</f>
        <v>0.205116657749689</v>
      </c>
    </row>
    <row r="5" spans="1:3" ht="14.65" customHeight="1">
      <c r="A5" s="129">
        <v>1992</v>
      </c>
      <c r="B5" s="129">
        <v>11.1</v>
      </c>
      <c r="C5" s="130">
        <f>C6/(1+B5*0.01)</f>
        <v>0.321212686036013</v>
      </c>
    </row>
    <row r="6" spans="1:3" ht="14.65" customHeight="1">
      <c r="A6" s="129">
        <v>1993</v>
      </c>
      <c r="B6" s="129">
        <v>20.8</v>
      </c>
      <c r="C6" s="130">
        <f>C7/(1+B6*0.01)</f>
        <v>0.35686729418601</v>
      </c>
    </row>
    <row r="7" spans="1:3" ht="14.65" customHeight="1">
      <c r="A7" s="129">
        <v>1994</v>
      </c>
      <c r="B7" s="129">
        <v>10</v>
      </c>
      <c r="C7" s="130">
        <f>C8/(1+B7*0.01)</f>
        <v>0.431095691376701</v>
      </c>
    </row>
    <row r="8" spans="1:3" ht="14.65" customHeight="1">
      <c r="A8" s="129">
        <v>1995</v>
      </c>
      <c r="B8" s="129">
        <v>9.1</v>
      </c>
      <c r="C8" s="130">
        <f>C9/(1+B8*0.01)</f>
        <v>0.474205260514371</v>
      </c>
    </row>
    <row r="9" spans="1:3" ht="14.65" customHeight="1">
      <c r="A9" s="129">
        <v>1996</v>
      </c>
      <c r="B9" s="129">
        <v>8.8</v>
      </c>
      <c r="C9" s="130">
        <f>C10/(1+B9*0.01)</f>
        <v>0.517357939221178</v>
      </c>
    </row>
    <row r="10" spans="1:10" ht="14.65" customHeight="1">
      <c r="A10" s="129">
        <v>1997</v>
      </c>
      <c r="B10" s="129">
        <v>8.5</v>
      </c>
      <c r="C10" s="130">
        <f>C11/(1+B10*0.01)</f>
        <v>0.562885437872642</v>
      </c>
      <c r="E10">
        <v>16475</v>
      </c>
      <c r="F10">
        <v>7078</v>
      </c>
      <c r="G10">
        <v>15216</v>
      </c>
      <c r="H10">
        <v>38769</v>
      </c>
      <c r="I10">
        <v>332609</v>
      </c>
      <c r="J10">
        <v>488009</v>
      </c>
    </row>
    <row r="11" spans="1:10" ht="14.65" customHeight="1">
      <c r="A11" s="129">
        <v>1998</v>
      </c>
      <c r="B11" s="129">
        <v>10.7</v>
      </c>
      <c r="C11" s="130">
        <f>C12/(1+B11*0.01)</f>
        <v>0.610730700091817</v>
      </c>
      <c r="E11">
        <v>17041</v>
      </c>
      <c r="F11">
        <v>7014</v>
      </c>
      <c r="G11">
        <v>14880</v>
      </c>
      <c r="H11">
        <v>38935</v>
      </c>
      <c r="I11">
        <v>335072</v>
      </c>
      <c r="J11">
        <v>579132</v>
      </c>
    </row>
    <row r="12" spans="1:10" ht="14.65" customHeight="1">
      <c r="A12" s="129">
        <v>1999</v>
      </c>
      <c r="B12" s="129">
        <v>2.1</v>
      </c>
      <c r="C12" s="130">
        <f>C13/(1+B12*0.01)</f>
        <v>0.676078885001641</v>
      </c>
      <c r="E12">
        <v>16041</v>
      </c>
      <c r="F12">
        <v>7033</v>
      </c>
      <c r="G12">
        <v>15223</v>
      </c>
      <c r="H12">
        <v>38657</v>
      </c>
      <c r="I12">
        <v>323045</v>
      </c>
      <c r="J12">
        <v>556271</v>
      </c>
    </row>
    <row r="13" spans="1:10" ht="14.65" customHeight="1">
      <c r="A13" s="129">
        <v>2000</v>
      </c>
      <c r="B13" s="129">
        <v>3.9</v>
      </c>
      <c r="C13" s="130">
        <f>C14/(1+B13*0.01)</f>
        <v>0.690276541586675</v>
      </c>
      <c r="E13">
        <v>16586</v>
      </c>
      <c r="F13">
        <v>7010</v>
      </c>
      <c r="G13">
        <v>15030</v>
      </c>
      <c r="H13">
        <v>38626</v>
      </c>
      <c r="I13">
        <v>337836</v>
      </c>
      <c r="J13">
        <v>649332</v>
      </c>
    </row>
    <row r="14" spans="1:10" ht="14.65" customHeight="1">
      <c r="A14" s="129">
        <v>2001</v>
      </c>
      <c r="B14" s="129">
        <v>4.7</v>
      </c>
      <c r="C14" s="130">
        <f>C15/(1+B14*0.01)</f>
        <v>0.717197326708556</v>
      </c>
      <c r="E14">
        <v>15952</v>
      </c>
      <c r="F14">
        <v>7416</v>
      </c>
      <c r="G14">
        <v>15523</v>
      </c>
      <c r="H14">
        <v>38891</v>
      </c>
      <c r="I14">
        <v>347330</v>
      </c>
      <c r="J14">
        <v>649517</v>
      </c>
    </row>
    <row r="15" spans="1:10" ht="14.65" customHeight="1">
      <c r="A15" s="129">
        <v>2002</v>
      </c>
      <c r="B15" s="129">
        <v>1.8</v>
      </c>
      <c r="C15" s="130">
        <f>C16/(1+B15*0.01)</f>
        <v>0.750905601063858</v>
      </c>
      <c r="E15">
        <v>15926</v>
      </c>
      <c r="F15">
        <v>7292</v>
      </c>
      <c r="G15">
        <v>15867</v>
      </c>
      <c r="H15">
        <v>39085</v>
      </c>
      <c r="I15">
        <v>339805</v>
      </c>
      <c r="J15">
        <v>661442</v>
      </c>
    </row>
    <row r="16" spans="1:10" ht="14.65" customHeight="1">
      <c r="A16" s="129">
        <v>2003</v>
      </c>
      <c r="B16" s="129">
        <v>0.1</v>
      </c>
      <c r="C16" s="130">
        <f>C17/(1+B16*0.01)</f>
        <v>0.764421901883007</v>
      </c>
      <c r="E16">
        <v>16068</v>
      </c>
      <c r="F16">
        <v>7325</v>
      </c>
      <c r="G16">
        <v>15582</v>
      </c>
      <c r="H16">
        <v>38975</v>
      </c>
      <c r="I16">
        <v>340157</v>
      </c>
      <c r="J16">
        <v>658561</v>
      </c>
    </row>
    <row r="17" spans="1:11" ht="14.65" customHeight="1">
      <c r="A17" s="129">
        <v>2004</v>
      </c>
      <c r="B17" s="129">
        <v>2.8</v>
      </c>
      <c r="C17" s="130">
        <f>C18/(1+B17*0.01)</f>
        <v>0.76518632378489</v>
      </c>
      <c r="E17">
        <v>15774</v>
      </c>
      <c r="F17">
        <v>7032</v>
      </c>
      <c r="G17">
        <v>16616</v>
      </c>
      <c r="H17">
        <v>39422</v>
      </c>
      <c r="I17">
        <v>338992</v>
      </c>
      <c r="J17">
        <v>720780</v>
      </c>
      <c r="K17" t="s">
        <v>569</v>
      </c>
    </row>
    <row r="18" spans="1:10" ht="14.65" customHeight="1">
      <c r="A18" s="129">
        <v>2005</v>
      </c>
      <c r="B18" s="129">
        <v>1.9</v>
      </c>
      <c r="C18" s="130">
        <f>C19/(1+B18*0.01)</f>
        <v>0.786611540850867</v>
      </c>
      <c r="E18">
        <v>11671</v>
      </c>
      <c r="F18">
        <v>6057</v>
      </c>
      <c r="G18">
        <v>17269</v>
      </c>
      <c r="H18">
        <v>38997</v>
      </c>
      <c r="I18">
        <v>327933</v>
      </c>
      <c r="J18">
        <v>720735</v>
      </c>
    </row>
    <row r="19" spans="1:10" ht="14.65" customHeight="1">
      <c r="A19" s="129">
        <v>2006</v>
      </c>
      <c r="B19" s="129">
        <v>2.5</v>
      </c>
      <c r="C19" s="130">
        <f>C20/(1+B19*0.01)</f>
        <v>0.801557160127033</v>
      </c>
      <c r="E19">
        <v>15810</v>
      </c>
      <c r="F19">
        <v>6037</v>
      </c>
      <c r="G19">
        <v>17686</v>
      </c>
      <c r="H19">
        <v>39533</v>
      </c>
      <c r="I19">
        <v>340242</v>
      </c>
      <c r="J19">
        <v>784187</v>
      </c>
    </row>
    <row r="20" spans="1:10" ht="14.65" customHeight="1">
      <c r="A20" s="129">
        <v>2007</v>
      </c>
      <c r="B20" s="129">
        <v>2.8</v>
      </c>
      <c r="C20" s="130">
        <f>C21/(1+B20*0.01)</f>
        <v>0.821596089130209</v>
      </c>
      <c r="E20">
        <v>15789</v>
      </c>
      <c r="F20">
        <v>6457</v>
      </c>
      <c r="G20">
        <v>17351</v>
      </c>
      <c r="H20">
        <v>39597</v>
      </c>
      <c r="I20">
        <v>343469</v>
      </c>
      <c r="J20">
        <v>771987</v>
      </c>
    </row>
    <row r="21" spans="1:10" ht="14.65" customHeight="1">
      <c r="A21" s="129">
        <v>2008</v>
      </c>
      <c r="B21" s="129">
        <v>6.3</v>
      </c>
      <c r="C21" s="130">
        <f>C22/(1+B21*0.01)</f>
        <v>0.844600779625855</v>
      </c>
      <c r="E21">
        <v>15528</v>
      </c>
      <c r="F21">
        <v>7130</v>
      </c>
      <c r="G21">
        <v>16942</v>
      </c>
      <c r="H21">
        <v>39600</v>
      </c>
      <c r="I21">
        <v>361475</v>
      </c>
      <c r="J21">
        <v>835069</v>
      </c>
    </row>
    <row r="22" spans="1:10" ht="14.65" customHeight="1">
      <c r="A22" s="129">
        <v>2009</v>
      </c>
      <c r="B22" s="129">
        <v>1</v>
      </c>
      <c r="C22" s="130">
        <f>C23/(1+B22*0.01)</f>
        <v>0.897810628742284</v>
      </c>
      <c r="E22">
        <v>15940</v>
      </c>
      <c r="F22">
        <v>6861</v>
      </c>
      <c r="G22">
        <v>18066</v>
      </c>
      <c r="H22">
        <v>40867</v>
      </c>
      <c r="I22">
        <v>346387</v>
      </c>
      <c r="J22">
        <v>953644</v>
      </c>
    </row>
    <row r="23" spans="1:11" ht="14.65" customHeight="1">
      <c r="A23" s="129">
        <v>2010</v>
      </c>
      <c r="B23" s="129">
        <v>1.5</v>
      </c>
      <c r="C23" s="130">
        <f>C24/(1+B23*0.01)</f>
        <v>0.906788735029707</v>
      </c>
      <c r="E23">
        <v>14894</v>
      </c>
      <c r="F23">
        <v>6365</v>
      </c>
      <c r="G23">
        <v>17114</v>
      </c>
      <c r="H23">
        <v>38373</v>
      </c>
      <c r="I23">
        <v>353555</v>
      </c>
      <c r="J23">
        <v>969595</v>
      </c>
      <c r="K23" t="s">
        <v>570</v>
      </c>
    </row>
    <row r="24" spans="1:10" ht="14.65" customHeight="1">
      <c r="A24" s="129">
        <v>2011</v>
      </c>
      <c r="B24" s="129">
        <v>1.9</v>
      </c>
      <c r="C24" s="130">
        <f>C25/(1+B24*0.01)</f>
        <v>0.920390566055152</v>
      </c>
      <c r="E24">
        <v>14892</v>
      </c>
      <c r="F24">
        <v>6176</v>
      </c>
      <c r="G24">
        <v>17256</v>
      </c>
      <c r="H24">
        <v>38324</v>
      </c>
      <c r="I24">
        <v>354342</v>
      </c>
      <c r="J24">
        <v>959316</v>
      </c>
    </row>
    <row r="25" spans="1:10" ht="14.65" customHeight="1">
      <c r="A25" s="129">
        <v>2012</v>
      </c>
      <c r="B25" s="129">
        <v>3.3</v>
      </c>
      <c r="C25" s="130">
        <f>C29/(1+B25*0.01)</f>
        <v>0.9378779868102</v>
      </c>
      <c r="E25">
        <v>15020</v>
      </c>
      <c r="F25">
        <v>6316</v>
      </c>
      <c r="G25">
        <v>16782</v>
      </c>
      <c r="H25">
        <v>38118</v>
      </c>
      <c r="I25">
        <v>352052</v>
      </c>
      <c r="J25">
        <v>994040</v>
      </c>
    </row>
    <row r="26" spans="1:3" ht="14.65" customHeight="1">
      <c r="A26" s="129">
        <v>2013</v>
      </c>
      <c r="B26" s="129">
        <v>1.4</v>
      </c>
      <c r="C26" s="130">
        <f>C27/(1+B26*0.01)</f>
        <v>0.98226423693785</v>
      </c>
    </row>
    <row r="27" spans="1:3" ht="14.65" customHeight="1">
      <c r="A27" s="129">
        <v>2014</v>
      </c>
      <c r="B27" s="131">
        <v>0.4</v>
      </c>
      <c r="C27" s="130">
        <f>C28/(1+B27*0.01)</f>
        <v>0.99601593625498</v>
      </c>
    </row>
    <row r="28" spans="1:3" ht="14.65" customHeight="1">
      <c r="A28" s="129">
        <v>2015</v>
      </c>
      <c r="B28" s="131">
        <v>0.3</v>
      </c>
      <c r="C28" s="130">
        <v>1</v>
      </c>
    </row>
    <row r="29" spans="1:10" ht="14.65" customHeight="1">
      <c r="A29" s="129">
        <v>2016</v>
      </c>
      <c r="B29" s="129">
        <v>0.7</v>
      </c>
      <c r="C29" s="130">
        <f>C30/(1+B29*0.01)</f>
        <v>0.968827960374937</v>
      </c>
      <c r="E29">
        <v>14105</v>
      </c>
      <c r="F29">
        <v>5855</v>
      </c>
      <c r="G29">
        <v>16451</v>
      </c>
      <c r="H29">
        <v>36411</v>
      </c>
      <c r="I29">
        <v>351284</v>
      </c>
      <c r="J29">
        <v>971871</v>
      </c>
    </row>
    <row r="30" spans="1:3" ht="14.65" customHeight="1">
      <c r="A30" s="129">
        <v>2017</v>
      </c>
      <c r="B30" s="131">
        <v>2.5</v>
      </c>
      <c r="C30" s="130">
        <f>C31/(1+B30*0.01)</f>
        <v>0.975609756097561</v>
      </c>
    </row>
    <row r="31" spans="1:3" ht="14.65" customHeight="1">
      <c r="A31" s="129">
        <v>2018</v>
      </c>
      <c r="B31" s="131">
        <v>2</v>
      </c>
      <c r="C31" s="130">
        <v>1</v>
      </c>
    </row>
    <row r="32" spans="1:3" ht="14.65" customHeight="1">
      <c r="A32" s="129">
        <v>2019</v>
      </c>
      <c r="B32" s="131">
        <v>0</v>
      </c>
      <c r="C32" s="130">
        <v>1</v>
      </c>
    </row>
    <row r="34" ht="15.75" customHeight="1">
      <c r="A34" s="127" t="s">
        <v>571</v>
      </c>
    </row>
    <row r="35" spans="1:5" ht="38.25" customHeight="1">
      <c r="A35" s="132" t="s">
        <v>572</v>
      </c>
      <c r="B35" s="133" t="s">
        <v>573</v>
      </c>
      <c r="C35" s="133" t="s">
        <v>574</v>
      </c>
      <c r="D35" s="133" t="s">
        <v>4</v>
      </c>
      <c r="E35" s="133" t="s">
        <v>575</v>
      </c>
    </row>
    <row r="36" spans="1:5" ht="51" customHeight="1">
      <c r="A36" s="134">
        <v>2009</v>
      </c>
      <c r="B36" s="134" t="s">
        <v>576</v>
      </c>
      <c r="C36" s="134" t="s">
        <v>577</v>
      </c>
      <c r="D36" s="135" t="s">
        <v>364</v>
      </c>
      <c r="E36" s="136">
        <v>8378478</v>
      </c>
    </row>
    <row r="37" spans="1:5" ht="25.5" customHeight="1">
      <c r="A37" s="129">
        <v>2009</v>
      </c>
      <c r="B37" s="129" t="s">
        <v>334</v>
      </c>
      <c r="C37" s="134" t="s">
        <v>577</v>
      </c>
      <c r="D37" s="135" t="s">
        <v>333</v>
      </c>
      <c r="E37" s="137">
        <v>6125000</v>
      </c>
    </row>
    <row r="38" spans="1:5" ht="38.25" customHeight="1">
      <c r="A38" s="129">
        <v>2011</v>
      </c>
      <c r="B38" s="134" t="s">
        <v>576</v>
      </c>
      <c r="C38" s="134" t="s">
        <v>577</v>
      </c>
      <c r="D38" s="135" t="s">
        <v>316</v>
      </c>
      <c r="E38" s="137">
        <v>17604932</v>
      </c>
    </row>
    <row r="41" spans="1:2" ht="15.75" customHeight="1">
      <c r="A41" s="127" t="s">
        <v>578</v>
      </c>
      <c r="B41" s="138"/>
    </row>
    <row r="42" spans="1:3" ht="25.5" customHeight="1">
      <c r="A42" s="129">
        <v>300</v>
      </c>
      <c r="B42" s="134" t="s">
        <v>579</v>
      </c>
      <c r="C42" s="134" t="s">
        <v>580</v>
      </c>
    </row>
    <row r="43" spans="1:3" ht="25.5" customHeight="1">
      <c r="A43" s="129">
        <v>600</v>
      </c>
      <c r="B43" s="134" t="s">
        <v>579</v>
      </c>
      <c r="C43" s="134" t="s">
        <v>581</v>
      </c>
    </row>
    <row r="44" spans="1:3" ht="12.75" customHeight="1">
      <c r="A44" s="129">
        <v>2500</v>
      </c>
      <c r="B44" s="134" t="s">
        <v>582</v>
      </c>
      <c r="C44" s="134" t="s">
        <v>583</v>
      </c>
    </row>
    <row r="45" spans="1:3" ht="12.75" customHeight="1">
      <c r="A45" s="134">
        <v>20000</v>
      </c>
      <c r="B45" s="134" t="s">
        <v>584</v>
      </c>
      <c r="C45" s="134" t="s">
        <v>585</v>
      </c>
    </row>
    <row r="47" spans="1:9" ht="16.5" customHeight="1">
      <c r="A47" s="127" t="s">
        <v>586</v>
      </c>
      <c r="E47" s="139" t="s">
        <v>587</v>
      </c>
      <c r="F47" s="139"/>
      <c r="G47" s="139"/>
      <c r="H47" s="139"/>
      <c r="I47" s="139"/>
    </row>
    <row r="48" spans="1:9" ht="38.25" customHeight="1">
      <c r="A48" s="5" t="s">
        <v>539</v>
      </c>
      <c r="B48" s="4" t="s">
        <v>588</v>
      </c>
      <c r="C48" s="4" t="s">
        <v>589</v>
      </c>
      <c r="D48" s="5" t="s">
        <v>590</v>
      </c>
      <c r="E48" s="4" t="s">
        <v>591</v>
      </c>
      <c r="F48" s="4" t="s">
        <v>589</v>
      </c>
      <c r="G48" s="4" t="s">
        <v>590</v>
      </c>
      <c r="H48" s="4" t="s">
        <v>592</v>
      </c>
      <c r="I48" s="4" t="s">
        <v>593</v>
      </c>
    </row>
    <row r="49" spans="1:9" ht="12.75" customHeight="1">
      <c r="A49" s="129">
        <v>1990</v>
      </c>
      <c r="B49" s="140">
        <v>2802869</v>
      </c>
      <c r="C49" s="5"/>
      <c r="D49" s="5"/>
      <c r="E49" s="140">
        <f>ROUND(B49/$C3,0)</f>
        <v>14990237</v>
      </c>
      <c r="F49" s="140"/>
      <c r="G49" s="140"/>
      <c r="H49" s="140"/>
      <c r="I49" s="140"/>
    </row>
    <row r="50" spans="1:9" ht="12.75" customHeight="1">
      <c r="A50" s="129">
        <v>1991</v>
      </c>
      <c r="B50" s="140">
        <v>3464064</v>
      </c>
      <c r="C50" s="5"/>
      <c r="D50" s="5"/>
      <c r="E50" s="140">
        <f>ROUND(B50/$C4,0)</f>
        <v>16888263</v>
      </c>
      <c r="F50" s="140"/>
      <c r="G50" s="140"/>
      <c r="H50" s="140"/>
      <c r="I50" s="140"/>
    </row>
    <row r="51" spans="1:9" ht="12.75" customHeight="1">
      <c r="A51" s="129">
        <v>1992</v>
      </c>
      <c r="B51" s="140">
        <v>2878100</v>
      </c>
      <c r="C51" s="5"/>
      <c r="D51" s="5"/>
      <c r="E51" s="140">
        <f>ROUND(B51/$C5,0)</f>
        <v>8960107</v>
      </c>
      <c r="F51" s="140"/>
      <c r="G51" s="140"/>
      <c r="H51" s="140"/>
      <c r="I51" s="140"/>
    </row>
    <row r="52" spans="1:9" ht="12.75" customHeight="1">
      <c r="A52" s="129">
        <v>1993</v>
      </c>
      <c r="B52" s="140">
        <v>4132000</v>
      </c>
      <c r="C52" s="5"/>
      <c r="D52" s="5"/>
      <c r="E52" s="140">
        <f>ROUND(B52/$C6,0)</f>
        <v>11578534</v>
      </c>
      <c r="F52" s="140"/>
      <c r="G52" s="140"/>
      <c r="H52" s="140"/>
      <c r="I52" s="140"/>
    </row>
    <row r="53" spans="1:9" ht="12.75" customHeight="1">
      <c r="A53" s="129">
        <v>1994</v>
      </c>
      <c r="B53" s="140">
        <v>4798900</v>
      </c>
      <c r="C53" s="5"/>
      <c r="D53" s="5"/>
      <c r="E53" s="140">
        <f>ROUND(B53/$C7,0)</f>
        <v>11131867</v>
      </c>
      <c r="F53" s="140"/>
      <c r="G53" s="140"/>
      <c r="H53" s="140"/>
      <c r="I53" s="140"/>
    </row>
    <row r="54" spans="1:9" ht="12.75" customHeight="1">
      <c r="A54" s="129">
        <v>1995</v>
      </c>
      <c r="B54" s="140">
        <v>6444500</v>
      </c>
      <c r="C54" s="5"/>
      <c r="D54" s="5"/>
      <c r="E54" s="140">
        <f>ROUND(B54/$C8,0)</f>
        <v>13590107</v>
      </c>
      <c r="F54" s="140"/>
      <c r="G54" s="140"/>
      <c r="H54" s="140"/>
      <c r="I54" s="140"/>
    </row>
    <row r="55" spans="1:9" ht="12.75" customHeight="1">
      <c r="A55" s="129">
        <v>1996</v>
      </c>
      <c r="B55" s="140">
        <v>8055500</v>
      </c>
      <c r="C55" s="5"/>
      <c r="D55" s="5"/>
      <c r="E55" s="140">
        <f>ROUND(B55/$C9,0)</f>
        <v>15570458</v>
      </c>
      <c r="F55" s="140"/>
      <c r="G55" s="140"/>
      <c r="H55" s="140"/>
      <c r="I55" s="140"/>
    </row>
    <row r="56" spans="1:9" ht="12.75" customHeight="1">
      <c r="A56" s="129">
        <v>1997</v>
      </c>
      <c r="B56" s="140">
        <v>5587300</v>
      </c>
      <c r="C56" s="141">
        <v>791000</v>
      </c>
      <c r="D56" s="5"/>
      <c r="E56" s="140">
        <f>ROUND(B56/$C10,0)</f>
        <v>9926176</v>
      </c>
      <c r="F56" s="140">
        <f>ROUND(C56/$C10,0)</f>
        <v>1405259</v>
      </c>
      <c r="G56" s="140"/>
      <c r="H56" s="140"/>
      <c r="I56" s="140"/>
    </row>
    <row r="57" spans="1:9" ht="12.75" customHeight="1">
      <c r="A57" s="129">
        <v>1998</v>
      </c>
      <c r="B57" s="140">
        <v>5943400</v>
      </c>
      <c r="C57" s="141">
        <v>806000</v>
      </c>
      <c r="D57" s="5"/>
      <c r="E57" s="140">
        <f>ROUND(B57/$C11,0)</f>
        <v>9731621</v>
      </c>
      <c r="F57" s="140">
        <f>ROUND(C57/$C11,0)</f>
        <v>1319731</v>
      </c>
      <c r="G57" s="140"/>
      <c r="H57" s="140"/>
      <c r="I57" s="140"/>
    </row>
    <row r="58" spans="1:9" ht="12.75" customHeight="1">
      <c r="A58" s="129">
        <v>1999</v>
      </c>
      <c r="B58" s="140">
        <v>7992700</v>
      </c>
      <c r="C58" s="141">
        <v>829000</v>
      </c>
      <c r="D58" s="5"/>
      <c r="E58" s="140">
        <f>ROUND(B58/$C12,0)</f>
        <v>11822141</v>
      </c>
      <c r="F58" s="140">
        <f>ROUND(C58/$C12,0)</f>
        <v>1226188</v>
      </c>
      <c r="G58" s="140"/>
      <c r="H58" s="140"/>
      <c r="I58" s="140"/>
    </row>
    <row r="59" spans="1:9" ht="12.75" customHeight="1">
      <c r="A59" s="129">
        <v>2000</v>
      </c>
      <c r="B59" s="140">
        <v>8980338</v>
      </c>
      <c r="C59" s="141">
        <v>862810</v>
      </c>
      <c r="D59" s="140">
        <v>2050110.40955</v>
      </c>
      <c r="E59" s="140">
        <f>ROUND(B59/$C13,0)</f>
        <v>13009768</v>
      </c>
      <c r="F59" s="140">
        <f>ROUND(C59/$C13,0)</f>
        <v>1249948</v>
      </c>
      <c r="G59" s="140">
        <f>ROUND(D59/$C13,0)</f>
        <v>2969984</v>
      </c>
      <c r="H59" s="140"/>
      <c r="I59" s="140"/>
    </row>
    <row r="60" spans="1:9" ht="12.75" customHeight="1">
      <c r="A60" s="129">
        <v>2001</v>
      </c>
      <c r="B60" s="140">
        <v>9228235</v>
      </c>
      <c r="C60" s="141">
        <v>903540</v>
      </c>
      <c r="D60" s="140">
        <v>2787824.5899</v>
      </c>
      <c r="E60" s="140">
        <f>ROUND(B60/$C14,0)</f>
        <v>12867079</v>
      </c>
      <c r="F60" s="140">
        <f>ROUND(C60/$C14,0)</f>
        <v>1259821</v>
      </c>
      <c r="G60" s="140">
        <f>ROUND(D60/$C14,0)</f>
        <v>3887110</v>
      </c>
      <c r="H60" s="140"/>
      <c r="I60" s="140"/>
    </row>
    <row r="61" spans="1:9" ht="12.75" customHeight="1">
      <c r="A61" s="129">
        <v>2002</v>
      </c>
      <c r="B61" s="140">
        <v>11099852</v>
      </c>
      <c r="C61" s="141">
        <v>944212</v>
      </c>
      <c r="D61" s="140">
        <v>3018798.6057</v>
      </c>
      <c r="E61" s="140">
        <f>ROUND(B61/$C15,0)</f>
        <v>14781954</v>
      </c>
      <c r="F61" s="140">
        <f>ROUND(C61/$C15,0)</f>
        <v>1257431</v>
      </c>
      <c r="G61" s="140">
        <f>ROUND(D61/$C15,0)</f>
        <v>4020211</v>
      </c>
      <c r="H61" s="140"/>
      <c r="I61" s="140"/>
    </row>
    <row r="62" spans="1:9" ht="12.75" customHeight="1">
      <c r="A62" s="129">
        <v>2003</v>
      </c>
      <c r="B62" s="140">
        <v>12457274</v>
      </c>
      <c r="C62" s="140">
        <v>932150</v>
      </c>
      <c r="D62" s="140">
        <v>3919899.845</v>
      </c>
      <c r="E62" s="140">
        <f>ROUND(B62/$C16,0)</f>
        <v>16296333</v>
      </c>
      <c r="F62" s="140">
        <f>ROUND(C62/$C16,0)</f>
        <v>1219418</v>
      </c>
      <c r="G62" s="140">
        <f>ROUND(D62/$C16,0)</f>
        <v>5127927</v>
      </c>
      <c r="H62" s="140"/>
      <c r="I62" s="140"/>
    </row>
    <row r="63" spans="1:9" ht="12.75" customHeight="1">
      <c r="A63" s="129">
        <v>2004</v>
      </c>
      <c r="B63" s="140">
        <v>13594503</v>
      </c>
      <c r="C63" s="140">
        <v>981450</v>
      </c>
      <c r="D63" s="140">
        <v>4769715</v>
      </c>
      <c r="E63" s="140">
        <f>ROUND(B63/$C17,0)</f>
        <v>17766265</v>
      </c>
      <c r="F63" s="140">
        <f>ROUND(C63/$C17,0)</f>
        <v>1282629</v>
      </c>
      <c r="G63" s="140">
        <f>ROUND(D63/$C17,0)</f>
        <v>6233403</v>
      </c>
      <c r="H63" s="140"/>
      <c r="I63" s="140"/>
    </row>
    <row r="64" spans="1:9" ht="12.75" customHeight="1">
      <c r="A64" s="129">
        <v>2005</v>
      </c>
      <c r="B64" s="140">
        <v>10882671</v>
      </c>
      <c r="C64" s="140">
        <v>982242</v>
      </c>
      <c r="D64" s="140">
        <v>3199119.27871</v>
      </c>
      <c r="E64" s="140">
        <f>ROUND(B64/$C18,0)</f>
        <v>13834873</v>
      </c>
      <c r="F64" s="140">
        <f>ROUND(C64/$C18,0)</f>
        <v>1248700</v>
      </c>
      <c r="G64" s="140">
        <f>ROUND(D64/$C18,0)</f>
        <v>4066962</v>
      </c>
      <c r="H64" s="140"/>
      <c r="I64" s="140"/>
    </row>
    <row r="65" spans="1:9" ht="12.75" customHeight="1">
      <c r="A65" s="129">
        <v>2006</v>
      </c>
      <c r="B65" s="140">
        <v>11327779</v>
      </c>
      <c r="C65" s="140">
        <v>1061950</v>
      </c>
      <c r="D65" s="140">
        <v>2879901</v>
      </c>
      <c r="E65" s="140">
        <f>ROUND(B65/$C19,0)</f>
        <v>14132216</v>
      </c>
      <c r="F65" s="140">
        <f>ROUND(C65/$C19,0)</f>
        <v>1324859</v>
      </c>
      <c r="G65" s="140">
        <f>ROUND(D65/$C19,0)</f>
        <v>3592883</v>
      </c>
      <c r="H65" s="140"/>
      <c r="I65" s="140"/>
    </row>
    <row r="66" spans="1:9" ht="12.75" customHeight="1">
      <c r="A66" s="129">
        <v>2007</v>
      </c>
      <c r="B66" s="140">
        <v>10641040</v>
      </c>
      <c r="C66" s="140">
        <v>1157954</v>
      </c>
      <c r="D66" s="140">
        <v>2315623.07591</v>
      </c>
      <c r="E66" s="140">
        <f>ROUND(B66/$C20,0)</f>
        <v>12951668</v>
      </c>
      <c r="F66" s="140">
        <f>ROUND(C66/$C20,0)</f>
        <v>1409396</v>
      </c>
      <c r="G66" s="140">
        <f>ROUND(D66/$C20,0)</f>
        <v>2818445</v>
      </c>
      <c r="H66" s="140"/>
      <c r="I66" s="140"/>
    </row>
    <row r="67" spans="1:9" ht="12.75" customHeight="1">
      <c r="A67" s="129">
        <v>2008</v>
      </c>
      <c r="B67" s="140">
        <v>11958530</v>
      </c>
      <c r="C67" s="140">
        <v>1233254</v>
      </c>
      <c r="D67" s="140">
        <v>2684830.11688</v>
      </c>
      <c r="E67" s="140">
        <f>ROUND(B67/$C21,0)</f>
        <v>14158796</v>
      </c>
      <c r="F67" s="140">
        <f>ROUND(C67/$C21,0)</f>
        <v>1460162</v>
      </c>
      <c r="G67" s="140">
        <f>ROUND(D67/$C21,0)</f>
        <v>3178816</v>
      </c>
      <c r="H67" s="140"/>
      <c r="I67" s="140"/>
    </row>
    <row r="68" spans="1:9" ht="12.75" customHeight="1">
      <c r="A68" s="129">
        <v>2009</v>
      </c>
      <c r="B68" s="140">
        <v>11950765</v>
      </c>
      <c r="C68" s="140">
        <v>1234785</v>
      </c>
      <c r="D68" s="140">
        <v>3187790.073</v>
      </c>
      <c r="E68" s="140">
        <f>ROUND(B68/$C22,0)</f>
        <v>13311009</v>
      </c>
      <c r="F68" s="140">
        <f>ROUND(C68/$C22,0)</f>
        <v>1375329</v>
      </c>
      <c r="G68" s="140">
        <f>ROUND(D68/$C22,0)</f>
        <v>3550626</v>
      </c>
      <c r="H68" s="140"/>
      <c r="I68" s="140"/>
    </row>
    <row r="69" spans="1:9" ht="12.75" customHeight="1">
      <c r="A69" s="129">
        <v>2010</v>
      </c>
      <c r="B69" s="140">
        <v>12214745</v>
      </c>
      <c r="C69" s="140">
        <v>1568746</v>
      </c>
      <c r="D69" s="140">
        <v>2523982</v>
      </c>
      <c r="E69" s="140">
        <f>ROUND(B69/$C23,0)</f>
        <v>13470332</v>
      </c>
      <c r="F69" s="140">
        <f>ROUND(C69/$C23,0)</f>
        <v>1730002</v>
      </c>
      <c r="G69" s="140">
        <f>ROUND(D69/$C23,0)</f>
        <v>2783429</v>
      </c>
      <c r="H69" s="140"/>
      <c r="I69" s="140"/>
    </row>
    <row r="70" spans="1:9" ht="12.75" customHeight="1">
      <c r="A70" s="129">
        <v>2011</v>
      </c>
      <c r="B70" s="140">
        <v>12108966</v>
      </c>
      <c r="C70" s="140">
        <v>1665821</v>
      </c>
      <c r="D70" s="140">
        <v>2369475</v>
      </c>
      <c r="E70" s="140">
        <f>ROUND(B70/$C24,0)</f>
        <v>13156334</v>
      </c>
      <c r="F70" s="140">
        <f>ROUND(C70/$C24,0)</f>
        <v>1809907</v>
      </c>
      <c r="G70" s="140">
        <f>ROUND(D70/$C24,0)</f>
        <v>2574423</v>
      </c>
      <c r="H70" s="140"/>
      <c r="I70" s="140"/>
    </row>
    <row r="71" spans="1:9" ht="12.75" customHeight="1">
      <c r="A71" s="129">
        <v>2012</v>
      </c>
      <c r="B71" s="140">
        <v>11061078</v>
      </c>
      <c r="C71" s="140">
        <v>1748284</v>
      </c>
      <c r="D71" s="140">
        <v>2896038</v>
      </c>
      <c r="E71" s="140">
        <f>ROUND(B71/$C25,0)</f>
        <v>11793728</v>
      </c>
      <c r="F71" s="140">
        <f>ROUND(C71/$C25,0)</f>
        <v>1864085</v>
      </c>
      <c r="G71" s="140">
        <f>ROUND(D71/$C25,0)</f>
        <v>3087862</v>
      </c>
      <c r="H71" s="140"/>
      <c r="I71" s="140"/>
    </row>
    <row r="72" spans="1:9" ht="12.75" customHeight="1">
      <c r="A72" s="129">
        <v>2013</v>
      </c>
      <c r="B72" s="140">
        <v>11260447</v>
      </c>
      <c r="C72" s="140">
        <v>1741000</v>
      </c>
      <c r="D72" s="140">
        <v>2937275</v>
      </c>
      <c r="E72" s="140">
        <f>ROUND(B72/$C29,0)</f>
        <v>11622752</v>
      </c>
      <c r="F72" s="140">
        <f>ROUND(C72/$C29,0)</f>
        <v>1797017</v>
      </c>
      <c r="G72" s="140">
        <f>ROUND(D72/$C29,0)</f>
        <v>3031782</v>
      </c>
      <c r="H72" s="140"/>
      <c r="I72" s="140"/>
    </row>
    <row r="73" spans="1:9" ht="12.75" customHeight="1">
      <c r="A73" s="129">
        <v>2014</v>
      </c>
      <c r="B73" s="141">
        <v>1</v>
      </c>
      <c r="C73" s="141">
        <v>1</v>
      </c>
      <c r="D73" s="141">
        <v>1</v>
      </c>
      <c r="E73" s="140">
        <f>ROUND(B73/$C31,0)</f>
        <v>1</v>
      </c>
      <c r="F73" s="140">
        <f>ROUND(C73/$C31,0)</f>
        <v>1</v>
      </c>
      <c r="G73" s="140">
        <f>ROUND(D73/$C31,0)</f>
        <v>1</v>
      </c>
      <c r="H73" s="140"/>
      <c r="I73" s="140"/>
    </row>
    <row r="74" spans="4:9" ht="12.75" customHeight="1">
      <c r="D74" t="s">
        <v>594</v>
      </c>
      <c r="E74" s="140">
        <f>SUM(E59:E73)</f>
        <v>193153108</v>
      </c>
      <c r="F74" s="140">
        <f>SUM(F59:F73)</f>
        <v>20288705</v>
      </c>
      <c r="G74" s="140">
        <f>SUM(G59:G73)</f>
        <v>50923864</v>
      </c>
      <c r="H74" s="140">
        <f>SUM(rekapitulace!G13:G31)/1000</f>
        <v>239334.816446358</v>
      </c>
      <c r="I74" s="140">
        <f>E74-F74-G74</f>
        <v>121940539</v>
      </c>
    </row>
    <row r="75" spans="5:9" ht="12.75" customHeight="1">
      <c r="E75" s="130">
        <f>H74/E74</f>
        <v>0.00123909378898712</v>
      </c>
      <c r="F75" s="130"/>
      <c r="G75" s="130">
        <f>H74/G74</f>
        <v>0.00469985577776183</v>
      </c>
      <c r="I75" s="130"/>
    </row>
  </sheetData>
  <mergeCells count="1">
    <mergeCell ref="E47:I47"/>
  </mergeCells>
  <printOptions/>
  <pageMargins left="0.7875" right="0.7875" top="1.05277777777778" bottom="1.05277777777778" header="0.7875" footer="0.7875"/>
  <pageSetup horizontalDpi="300" verticalDpi="300" orientation="portrait" scale="99" copies="1"/>
  <headerFooter>
    <oddHeader>&amp;C&amp;"Times New Roman,Regular"&amp;12&amp;A</oddHeader>
    <oddFooter>&amp;C&amp;"Times New Roman,Regular"&amp;12Stránka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2018-08-15T16:01:54Z</dcterms:modified>
  <cp:category/>
  <cp:version/>
  <cp:contentType/>
  <cp:contentStatus/>
  <cp:revision>70</cp:revision>
</cp:coreProperties>
</file>